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ZNA\Users\Public\Public\2022\ФІНПЛАН\ЗВІТ ЗА 2020 РІК\"/>
    </mc:Choice>
  </mc:AlternateContent>
  <bookViews>
    <workbookView xWindow="0" yWindow="0" windowWidth="28800" windowHeight="1230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до Руху" sheetId="23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_xlnm._FilterDatabase" localSheetId="0" hidden="1">'Звіт про виконання показ фінпла'!$A$4:$H$5</definedName>
    <definedName name="_xlnm._FilterDatabase" localSheetId="2" hidden="1">'Розшифровка 2 до формування'!$A$5:$H$5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фінпла'!$A$1:$H$156</definedName>
    <definedName name="_xlnm.Print_Area" localSheetId="1">'Розшифровка 1 до Формування'!$A$1:$H$149</definedName>
    <definedName name="_xlnm.Print_Area" localSheetId="2">'Розшифровка 2 до формування'!$A$1:$H$380</definedName>
    <definedName name="_xlnm.Print_Area" localSheetId="3">'Розшифровка до Руху'!$A$1:$G$140</definedName>
    <definedName name="_xlnm.Print_Area" localSheetId="5">'Розшифровка за джерелами'!$A$1:$U$191</definedName>
    <definedName name="_xlnm.Print_Area" localSheetId="4">'Розшифровка кап'!$A$1:$G$159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D150" i="14" l="1"/>
  <c r="D149" i="14"/>
  <c r="Q168" i="9" l="1"/>
  <c r="Q169" i="9"/>
  <c r="Q170" i="9"/>
  <c r="Q171" i="9"/>
  <c r="Q172" i="9"/>
  <c r="Q173" i="9"/>
  <c r="Q174" i="9"/>
  <c r="Q175" i="9"/>
  <c r="Q150" i="9"/>
  <c r="Q151" i="9"/>
  <c r="Q152" i="9"/>
  <c r="Q153" i="9"/>
  <c r="Q154" i="9"/>
  <c r="Q155" i="9"/>
  <c r="Q156" i="9"/>
  <c r="Q157" i="9"/>
  <c r="Q158" i="9"/>
  <c r="Q159" i="9"/>
  <c r="Q160" i="9"/>
  <c r="Q161" i="9"/>
  <c r="Q162" i="9"/>
  <c r="Q163" i="9"/>
  <c r="Q164" i="9"/>
  <c r="Q165" i="9"/>
  <c r="Q166" i="9"/>
  <c r="Q167" i="9"/>
  <c r="Q123" i="9"/>
  <c r="Q124" i="9"/>
  <c r="Q125" i="9"/>
  <c r="Q126" i="9"/>
  <c r="Q127" i="9"/>
  <c r="Q128" i="9"/>
  <c r="Q129" i="9"/>
  <c r="Q130" i="9"/>
  <c r="Q131" i="9"/>
  <c r="Q132" i="9"/>
  <c r="Q133" i="9"/>
  <c r="Q134" i="9"/>
  <c r="Q135" i="9"/>
  <c r="Q136" i="9"/>
  <c r="Q137" i="9"/>
  <c r="Q138" i="9"/>
  <c r="Q139" i="9"/>
  <c r="Q140" i="9"/>
  <c r="Q141" i="9"/>
  <c r="Q142" i="9"/>
  <c r="Q143" i="9"/>
  <c r="Q144" i="9"/>
  <c r="Q145" i="9"/>
  <c r="Q146" i="9"/>
  <c r="Q147" i="9"/>
  <c r="Q148" i="9"/>
  <c r="Q14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70" i="9"/>
  <c r="Q69" i="9" s="1"/>
  <c r="Q27" i="9"/>
  <c r="K69" i="9"/>
  <c r="R8" i="9" l="1"/>
  <c r="R9" i="9"/>
  <c r="R10" i="9"/>
  <c r="R11" i="9"/>
  <c r="R12" i="9"/>
  <c r="R13" i="9"/>
  <c r="R14" i="9"/>
  <c r="R15" i="9"/>
  <c r="R16" i="9"/>
  <c r="R17" i="9"/>
  <c r="R18" i="9"/>
  <c r="R19" i="9"/>
  <c r="R20" i="9"/>
  <c r="R21" i="9"/>
  <c r="R22" i="9"/>
  <c r="R23" i="9"/>
  <c r="R24" i="9"/>
  <c r="R25" i="9"/>
  <c r="R26" i="9"/>
  <c r="R27" i="9"/>
  <c r="R28" i="9"/>
  <c r="R29" i="9"/>
  <c r="R30" i="9"/>
  <c r="R31" i="9"/>
  <c r="R32" i="9"/>
  <c r="R33" i="9"/>
  <c r="R34" i="9"/>
  <c r="R35" i="9"/>
  <c r="R36" i="9"/>
  <c r="R37" i="9"/>
  <c r="R38" i="9"/>
  <c r="R39" i="9"/>
  <c r="R40" i="9"/>
  <c r="R41" i="9"/>
  <c r="R42" i="9"/>
  <c r="R43" i="9"/>
  <c r="R44" i="9"/>
  <c r="R45" i="9"/>
  <c r="R46" i="9"/>
  <c r="R47" i="9"/>
  <c r="R48" i="9"/>
  <c r="R49" i="9"/>
  <c r="R50" i="9"/>
  <c r="R51" i="9"/>
  <c r="R52" i="9"/>
  <c r="R53" i="9"/>
  <c r="R54" i="9"/>
  <c r="R55" i="9"/>
  <c r="R56" i="9"/>
  <c r="R57" i="9"/>
  <c r="R58" i="9"/>
  <c r="R59" i="9"/>
  <c r="R60" i="9"/>
  <c r="R61" i="9"/>
  <c r="R62" i="9"/>
  <c r="R63" i="9"/>
  <c r="R64" i="9"/>
  <c r="R65" i="9"/>
  <c r="R66" i="9"/>
  <c r="R68" i="9"/>
  <c r="R70" i="9"/>
  <c r="R71" i="9"/>
  <c r="R72" i="9"/>
  <c r="R73" i="9"/>
  <c r="R74" i="9"/>
  <c r="R75" i="9"/>
  <c r="R76" i="9"/>
  <c r="R77" i="9"/>
  <c r="R78" i="9"/>
  <c r="R79" i="9"/>
  <c r="R80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99" i="9"/>
  <c r="R100" i="9"/>
  <c r="R101" i="9"/>
  <c r="R102" i="9"/>
  <c r="R103" i="9"/>
  <c r="R104" i="9"/>
  <c r="R105" i="9"/>
  <c r="R106" i="9"/>
  <c r="R107" i="9"/>
  <c r="R108" i="9"/>
  <c r="R109" i="9"/>
  <c r="R110" i="9"/>
  <c r="R111" i="9"/>
  <c r="R112" i="9"/>
  <c r="R113" i="9"/>
  <c r="R114" i="9"/>
  <c r="R115" i="9"/>
  <c r="R116" i="9"/>
  <c r="R117" i="9"/>
  <c r="R118" i="9"/>
  <c r="R121" i="9"/>
  <c r="R123" i="9"/>
  <c r="R124" i="9"/>
  <c r="R125" i="9"/>
  <c r="R126" i="9"/>
  <c r="R127" i="9"/>
  <c r="R128" i="9"/>
  <c r="R129" i="9"/>
  <c r="R130" i="9"/>
  <c r="R131" i="9"/>
  <c r="R132" i="9"/>
  <c r="R133" i="9"/>
  <c r="R134" i="9"/>
  <c r="R135" i="9"/>
  <c r="R136" i="9"/>
  <c r="R137" i="9"/>
  <c r="R138" i="9"/>
  <c r="R140" i="9"/>
  <c r="R141" i="9"/>
  <c r="R142" i="9"/>
  <c r="R143" i="9"/>
  <c r="R144" i="9"/>
  <c r="R145" i="9"/>
  <c r="R146" i="9"/>
  <c r="R147" i="9"/>
  <c r="R148" i="9"/>
  <c r="R149" i="9"/>
  <c r="R150" i="9"/>
  <c r="R151" i="9"/>
  <c r="R152" i="9"/>
  <c r="R153" i="9"/>
  <c r="R154" i="9"/>
  <c r="R155" i="9"/>
  <c r="R156" i="9"/>
  <c r="R157" i="9"/>
  <c r="R158" i="9"/>
  <c r="R159" i="9"/>
  <c r="R160" i="9"/>
  <c r="R161" i="9"/>
  <c r="R162" i="9"/>
  <c r="R163" i="9"/>
  <c r="R164" i="9"/>
  <c r="R165" i="9"/>
  <c r="R166" i="9"/>
  <c r="R170" i="9"/>
  <c r="R172" i="9"/>
  <c r="R175" i="9"/>
  <c r="R177" i="9"/>
  <c r="R178" i="9"/>
  <c r="R179" i="9"/>
  <c r="R181" i="9"/>
  <c r="R182" i="9"/>
  <c r="R183" i="9"/>
  <c r="S8" i="9"/>
  <c r="S9" i="9"/>
  <c r="S10" i="9"/>
  <c r="S11" i="9"/>
  <c r="S12" i="9"/>
  <c r="S13" i="9"/>
  <c r="S14" i="9"/>
  <c r="S15" i="9"/>
  <c r="S16" i="9"/>
  <c r="S17" i="9"/>
  <c r="S18" i="9"/>
  <c r="S19" i="9"/>
  <c r="S20" i="9"/>
  <c r="S21" i="9"/>
  <c r="S22" i="9"/>
  <c r="S23" i="9"/>
  <c r="S24" i="9"/>
  <c r="S25" i="9"/>
  <c r="S26" i="9"/>
  <c r="S27" i="9"/>
  <c r="S28" i="9"/>
  <c r="S29" i="9"/>
  <c r="S30" i="9"/>
  <c r="S31" i="9"/>
  <c r="S32" i="9"/>
  <c r="S33" i="9"/>
  <c r="S34" i="9"/>
  <c r="S35" i="9"/>
  <c r="S36" i="9"/>
  <c r="S37" i="9"/>
  <c r="S38" i="9"/>
  <c r="S39" i="9"/>
  <c r="S40" i="9"/>
  <c r="S41" i="9"/>
  <c r="S42" i="9"/>
  <c r="S43" i="9"/>
  <c r="S44" i="9"/>
  <c r="S45" i="9"/>
  <c r="S46" i="9"/>
  <c r="S47" i="9"/>
  <c r="S48" i="9"/>
  <c r="S49" i="9"/>
  <c r="S50" i="9"/>
  <c r="S51" i="9"/>
  <c r="S52" i="9"/>
  <c r="S53" i="9"/>
  <c r="S54" i="9"/>
  <c r="S55" i="9"/>
  <c r="S56" i="9"/>
  <c r="S57" i="9"/>
  <c r="S58" i="9"/>
  <c r="S59" i="9"/>
  <c r="S60" i="9"/>
  <c r="S61" i="9"/>
  <c r="S62" i="9"/>
  <c r="S63" i="9"/>
  <c r="S64" i="9"/>
  <c r="S65" i="9"/>
  <c r="S66" i="9"/>
  <c r="S68" i="9"/>
  <c r="S70" i="9"/>
  <c r="S71" i="9"/>
  <c r="S72" i="9"/>
  <c r="S73" i="9"/>
  <c r="S74" i="9"/>
  <c r="T74" i="9" s="1"/>
  <c r="S75" i="9"/>
  <c r="S76" i="9"/>
  <c r="S77" i="9"/>
  <c r="S78" i="9"/>
  <c r="T78" i="9" s="1"/>
  <c r="S79" i="9"/>
  <c r="S80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99" i="9"/>
  <c r="S100" i="9"/>
  <c r="S101" i="9"/>
  <c r="S102" i="9"/>
  <c r="S103" i="9"/>
  <c r="S104" i="9"/>
  <c r="S105" i="9"/>
  <c r="S106" i="9"/>
  <c r="S107" i="9"/>
  <c r="S108" i="9"/>
  <c r="S109" i="9"/>
  <c r="S110" i="9"/>
  <c r="S111" i="9"/>
  <c r="S112" i="9"/>
  <c r="S113" i="9"/>
  <c r="S114" i="9"/>
  <c r="S115" i="9"/>
  <c r="S116" i="9"/>
  <c r="S117" i="9"/>
  <c r="S118" i="9"/>
  <c r="S121" i="9"/>
  <c r="S123" i="9"/>
  <c r="S124" i="9"/>
  <c r="S125" i="9"/>
  <c r="S126" i="9"/>
  <c r="S127" i="9"/>
  <c r="S128" i="9"/>
  <c r="S129" i="9"/>
  <c r="S130" i="9"/>
  <c r="S131" i="9"/>
  <c r="S132" i="9"/>
  <c r="S133" i="9"/>
  <c r="S134" i="9"/>
  <c r="S135" i="9"/>
  <c r="S136" i="9"/>
  <c r="S137" i="9"/>
  <c r="S138" i="9"/>
  <c r="S140" i="9"/>
  <c r="S141" i="9"/>
  <c r="S142" i="9"/>
  <c r="S143" i="9"/>
  <c r="S144" i="9"/>
  <c r="S145" i="9"/>
  <c r="S146" i="9"/>
  <c r="S147" i="9"/>
  <c r="S148" i="9"/>
  <c r="S149" i="9"/>
  <c r="S150" i="9"/>
  <c r="S151" i="9"/>
  <c r="T151" i="9" s="1"/>
  <c r="S152" i="9"/>
  <c r="S153" i="9"/>
  <c r="S154" i="9"/>
  <c r="S155" i="9"/>
  <c r="T155" i="9" s="1"/>
  <c r="S156" i="9"/>
  <c r="S157" i="9"/>
  <c r="S158" i="9"/>
  <c r="S159" i="9"/>
  <c r="T159" i="9" s="1"/>
  <c r="S160" i="9"/>
  <c r="S161" i="9"/>
  <c r="S162" i="9"/>
  <c r="S163" i="9"/>
  <c r="T163" i="9" s="1"/>
  <c r="S164" i="9"/>
  <c r="S165" i="9"/>
  <c r="S166" i="9"/>
  <c r="S170" i="9"/>
  <c r="T170" i="9" s="1"/>
  <c r="S172" i="9"/>
  <c r="S175" i="9"/>
  <c r="S177" i="9"/>
  <c r="S178" i="9"/>
  <c r="T178" i="9" s="1"/>
  <c r="S179" i="9"/>
  <c r="S181" i="9"/>
  <c r="S182" i="9"/>
  <c r="S183" i="9"/>
  <c r="T183" i="9" s="1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8" i="9"/>
  <c r="Q29" i="9"/>
  <c r="Q30" i="9"/>
  <c r="Q31" i="9"/>
  <c r="Q32" i="9"/>
  <c r="Q7" i="9" s="1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1" i="9"/>
  <c r="Q56" i="9"/>
  <c r="Q57" i="9"/>
  <c r="Q59" i="9"/>
  <c r="Q60" i="9"/>
  <c r="Q61" i="9"/>
  <c r="Q62" i="9"/>
  <c r="Q63" i="9"/>
  <c r="Q64" i="9"/>
  <c r="Q177" i="9"/>
  <c r="Q178" i="9"/>
  <c r="Q179" i="9"/>
  <c r="Q181" i="9"/>
  <c r="Q182" i="9"/>
  <c r="Q183" i="9"/>
  <c r="Q8" i="9"/>
  <c r="B177" i="9"/>
  <c r="T179" i="9" l="1"/>
  <c r="U47" i="9"/>
  <c r="U43" i="9"/>
  <c r="T172" i="9"/>
  <c r="T164" i="9"/>
  <c r="T160" i="9"/>
  <c r="T156" i="9"/>
  <c r="T152" i="9"/>
  <c r="T148" i="9"/>
  <c r="T144" i="9"/>
  <c r="T140" i="9"/>
  <c r="T135" i="9"/>
  <c r="T131" i="9"/>
  <c r="T127" i="9"/>
  <c r="T123" i="9"/>
  <c r="T116" i="9"/>
  <c r="T112" i="9"/>
  <c r="T108" i="9"/>
  <c r="T104" i="9"/>
  <c r="T100" i="9"/>
  <c r="T96" i="9"/>
  <c r="T92" i="9"/>
  <c r="T88" i="9"/>
  <c r="T84" i="9"/>
  <c r="T79" i="9"/>
  <c r="T75" i="9"/>
  <c r="T70" i="9"/>
  <c r="T66" i="9"/>
  <c r="T63" i="9"/>
  <c r="T59" i="9"/>
  <c r="T55" i="9"/>
  <c r="U48" i="9"/>
  <c r="U44" i="9"/>
  <c r="U40" i="9"/>
  <c r="T36" i="9"/>
  <c r="T32" i="9"/>
  <c r="T28" i="9"/>
  <c r="T24" i="9"/>
  <c r="T20" i="9"/>
  <c r="T16" i="9"/>
  <c r="T12" i="9"/>
  <c r="T181" i="9"/>
  <c r="T177" i="9"/>
  <c r="T166" i="9"/>
  <c r="T162" i="9"/>
  <c r="T158" i="9"/>
  <c r="T154" i="9"/>
  <c r="T150" i="9"/>
  <c r="T146" i="9"/>
  <c r="T142" i="9"/>
  <c r="T137" i="9"/>
  <c r="T133" i="9"/>
  <c r="T129" i="9"/>
  <c r="T125" i="9"/>
  <c r="T118" i="9"/>
  <c r="T114" i="9"/>
  <c r="T110" i="9"/>
  <c r="T106" i="9"/>
  <c r="T102" i="9"/>
  <c r="T98" i="9"/>
  <c r="T94" i="9"/>
  <c r="T90" i="9"/>
  <c r="T86" i="9"/>
  <c r="T82" i="9"/>
  <c r="T77" i="9"/>
  <c r="T73" i="9"/>
  <c r="T61" i="9"/>
  <c r="T57" i="9"/>
  <c r="T53" i="9"/>
  <c r="T50" i="9"/>
  <c r="T46" i="9"/>
  <c r="T42" i="9"/>
  <c r="T38" i="9"/>
  <c r="T34" i="9"/>
  <c r="T30" i="9"/>
  <c r="T26" i="9"/>
  <c r="T22" i="9"/>
  <c r="T18" i="9"/>
  <c r="T14" i="9"/>
  <c r="T10" i="9"/>
  <c r="T149" i="9"/>
  <c r="T145" i="9"/>
  <c r="T141" i="9"/>
  <c r="T136" i="9"/>
  <c r="T132" i="9"/>
  <c r="T128" i="9"/>
  <c r="T124" i="9"/>
  <c r="T117" i="9"/>
  <c r="T113" i="9"/>
  <c r="T109" i="9"/>
  <c r="T105" i="9"/>
  <c r="T101" i="9"/>
  <c r="T97" i="9"/>
  <c r="T93" i="9"/>
  <c r="T89" i="9"/>
  <c r="T85" i="9"/>
  <c r="T80" i="9"/>
  <c r="T76" i="9"/>
  <c r="T72" i="9"/>
  <c r="U71" i="9"/>
  <c r="T68" i="9"/>
  <c r="T64" i="9"/>
  <c r="T60" i="9"/>
  <c r="T56" i="9"/>
  <c r="T52" i="9"/>
  <c r="T49" i="9"/>
  <c r="T45" i="9"/>
  <c r="T41" i="9"/>
  <c r="T37" i="9"/>
  <c r="T33" i="9"/>
  <c r="T29" i="9"/>
  <c r="T25" i="9"/>
  <c r="T21" i="9"/>
  <c r="T17" i="9"/>
  <c r="T13" i="9"/>
  <c r="T9" i="9"/>
  <c r="T83" i="9"/>
  <c r="U70" i="9"/>
  <c r="T48" i="9"/>
  <c r="S7" i="9"/>
  <c r="R7" i="9"/>
  <c r="T44" i="9"/>
  <c r="Q176" i="9"/>
  <c r="T182" i="9"/>
  <c r="T175" i="9"/>
  <c r="T165" i="9"/>
  <c r="T161" i="9"/>
  <c r="T157" i="9"/>
  <c r="T153" i="9"/>
  <c r="T147" i="9"/>
  <c r="T143" i="9"/>
  <c r="T138" i="9"/>
  <c r="T134" i="9"/>
  <c r="T130" i="9"/>
  <c r="T126" i="9"/>
  <c r="T121" i="9"/>
  <c r="T115" i="9"/>
  <c r="T111" i="9"/>
  <c r="T107" i="9"/>
  <c r="T103" i="9"/>
  <c r="T99" i="9"/>
  <c r="T95" i="9"/>
  <c r="T91" i="9"/>
  <c r="T87" i="9"/>
  <c r="T65" i="9"/>
  <c r="T62" i="9"/>
  <c r="T58" i="9"/>
  <c r="T54" i="9"/>
  <c r="T51" i="9"/>
  <c r="T47" i="9"/>
  <c r="T43" i="9"/>
  <c r="T39" i="9"/>
  <c r="T35" i="9"/>
  <c r="T31" i="9"/>
  <c r="T27" i="9"/>
  <c r="T23" i="9"/>
  <c r="T19" i="9"/>
  <c r="T15" i="9"/>
  <c r="T11" i="9"/>
  <c r="R69" i="9"/>
  <c r="T40" i="9"/>
  <c r="T8" i="9"/>
  <c r="U39" i="9"/>
  <c r="U177" i="9"/>
  <c r="U46" i="9"/>
  <c r="U42" i="9"/>
  <c r="S69" i="9"/>
  <c r="T71" i="9"/>
  <c r="U49" i="9"/>
  <c r="U45" i="9"/>
  <c r="U41" i="9"/>
  <c r="J180" i="9"/>
  <c r="G180" i="9"/>
  <c r="H180" i="9"/>
  <c r="I180" i="9"/>
  <c r="K180" i="9"/>
  <c r="L180" i="9"/>
  <c r="M180" i="9"/>
  <c r="N180" i="9"/>
  <c r="O180" i="9"/>
  <c r="P180" i="9"/>
  <c r="F180" i="9"/>
  <c r="I176" i="9"/>
  <c r="J176" i="9"/>
  <c r="K176" i="9"/>
  <c r="L176" i="9"/>
  <c r="M176" i="9"/>
  <c r="N176" i="9"/>
  <c r="O176" i="9"/>
  <c r="P176" i="9"/>
  <c r="H176" i="9"/>
  <c r="G176" i="9"/>
  <c r="F176" i="9"/>
  <c r="Q180" i="9" l="1"/>
  <c r="Q184" i="9" s="1"/>
  <c r="R180" i="9"/>
  <c r="U69" i="9"/>
  <c r="T69" i="9"/>
  <c r="S180" i="9"/>
  <c r="R176" i="9"/>
  <c r="R184" i="9" s="1"/>
  <c r="S176" i="9"/>
  <c r="N7" i="9"/>
  <c r="N184" i="9" s="1"/>
  <c r="H69" i="9"/>
  <c r="I69" i="9"/>
  <c r="J69" i="9"/>
  <c r="L69" i="9"/>
  <c r="M69" i="9"/>
  <c r="N69" i="9"/>
  <c r="G69" i="9"/>
  <c r="O69" i="9"/>
  <c r="P69" i="9"/>
  <c r="F69" i="9"/>
  <c r="B178" i="9"/>
  <c r="B181" i="9"/>
  <c r="B182" i="9"/>
  <c r="B149" i="9"/>
  <c r="B150" i="9"/>
  <c r="B146" i="9"/>
  <c r="B147" i="9"/>
  <c r="B148" i="9"/>
  <c r="B144" i="9"/>
  <c r="B145" i="9"/>
  <c r="B140" i="9"/>
  <c r="B141" i="9"/>
  <c r="B142" i="9"/>
  <c r="B143" i="9"/>
  <c r="B135" i="9"/>
  <c r="B136" i="9"/>
  <c r="B137" i="9"/>
  <c r="B138" i="9"/>
  <c r="B131" i="9"/>
  <c r="B132" i="9"/>
  <c r="B133" i="9"/>
  <c r="B134" i="9"/>
  <c r="B126" i="9"/>
  <c r="B127" i="9"/>
  <c r="B128" i="9"/>
  <c r="B129" i="9"/>
  <c r="B130" i="9"/>
  <c r="B124" i="9"/>
  <c r="B125" i="9"/>
  <c r="B121" i="9"/>
  <c r="B123" i="9"/>
  <c r="B116" i="9"/>
  <c r="B117" i="9"/>
  <c r="B118" i="9"/>
  <c r="B111" i="9"/>
  <c r="B112" i="9"/>
  <c r="B113" i="9"/>
  <c r="B114" i="9"/>
  <c r="B115" i="9"/>
  <c r="B109" i="9"/>
  <c r="B110" i="9"/>
  <c r="B104" i="9"/>
  <c r="B105" i="9"/>
  <c r="B106" i="9"/>
  <c r="B107" i="9"/>
  <c r="B108" i="9"/>
  <c r="B98" i="9"/>
  <c r="B99" i="9"/>
  <c r="B100" i="9"/>
  <c r="B101" i="9"/>
  <c r="B102" i="9"/>
  <c r="B103" i="9"/>
  <c r="B91" i="9"/>
  <c r="B92" i="9"/>
  <c r="B93" i="9"/>
  <c r="B94" i="9"/>
  <c r="B95" i="9"/>
  <c r="B96" i="9"/>
  <c r="B97" i="9"/>
  <c r="B84" i="9"/>
  <c r="B85" i="9"/>
  <c r="B86" i="9"/>
  <c r="B87" i="9"/>
  <c r="B88" i="9"/>
  <c r="B89" i="9"/>
  <c r="B90" i="9"/>
  <c r="B83" i="9"/>
  <c r="K7" i="9"/>
  <c r="H7" i="9"/>
  <c r="F7" i="9"/>
  <c r="G7" i="9"/>
  <c r="I7" i="9"/>
  <c r="J7" i="9"/>
  <c r="L7" i="9"/>
  <c r="M7" i="9"/>
  <c r="O7" i="9"/>
  <c r="P7" i="9"/>
  <c r="E7" i="9"/>
  <c r="T180" i="9" l="1"/>
  <c r="S184" i="9"/>
  <c r="U184" i="9" s="1"/>
  <c r="U176" i="9"/>
  <c r="T176" i="9"/>
  <c r="B79" i="9"/>
  <c r="B80" i="9"/>
  <c r="B82" i="9"/>
  <c r="B72" i="9"/>
  <c r="B74" i="9"/>
  <c r="B75" i="9"/>
  <c r="B76" i="9"/>
  <c r="B77" i="9"/>
  <c r="B78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8" i="9"/>
  <c r="B70" i="9"/>
  <c r="B71" i="9"/>
  <c r="T184" i="9" l="1"/>
  <c r="G28" i="14"/>
  <c r="G13" i="14"/>
  <c r="G17" i="14"/>
  <c r="G128" i="23"/>
  <c r="G85" i="23"/>
  <c r="G84" i="23"/>
  <c r="G72" i="23"/>
  <c r="G75" i="23"/>
  <c r="G67" i="23"/>
  <c r="G35" i="23"/>
  <c r="F36" i="23"/>
  <c r="F37" i="23"/>
  <c r="F38" i="23"/>
  <c r="F39" i="23"/>
  <c r="F40" i="23"/>
  <c r="F41" i="23"/>
  <c r="F42" i="23"/>
  <c r="F43" i="23"/>
  <c r="F44" i="23"/>
  <c r="F45" i="23"/>
  <c r="F46" i="23"/>
  <c r="F47" i="23"/>
  <c r="F48" i="23"/>
  <c r="F49" i="23"/>
  <c r="F50" i="23"/>
  <c r="F51" i="23"/>
  <c r="F52" i="23"/>
  <c r="F53" i="23"/>
  <c r="F54" i="23"/>
  <c r="F55" i="23"/>
  <c r="F56" i="23"/>
  <c r="F57" i="23"/>
  <c r="F58" i="23"/>
  <c r="F59" i="23"/>
  <c r="F60" i="23"/>
  <c r="F61" i="23"/>
  <c r="F62" i="23"/>
  <c r="F63" i="23"/>
  <c r="F64" i="23"/>
  <c r="F65" i="23"/>
  <c r="F66" i="23"/>
  <c r="F67" i="23"/>
  <c r="F68" i="23"/>
  <c r="F69" i="23"/>
  <c r="F70" i="23"/>
  <c r="F71" i="23"/>
  <c r="F72" i="23"/>
  <c r="F73" i="23"/>
  <c r="F74" i="23"/>
  <c r="F75" i="23"/>
  <c r="F76" i="23"/>
  <c r="F77" i="23"/>
  <c r="F78" i="23"/>
  <c r="F79" i="23"/>
  <c r="F80" i="23"/>
  <c r="F81" i="23"/>
  <c r="F82" i="23"/>
  <c r="F83" i="23"/>
  <c r="F84" i="23"/>
  <c r="F85" i="23"/>
  <c r="F86" i="23"/>
  <c r="F87" i="23"/>
  <c r="F88" i="23"/>
  <c r="F89" i="23"/>
  <c r="F90" i="23"/>
  <c r="F91" i="23"/>
  <c r="F92" i="23"/>
  <c r="F93" i="23"/>
  <c r="F94" i="23"/>
  <c r="F95" i="23"/>
  <c r="F96" i="23"/>
  <c r="F97" i="23"/>
  <c r="F98" i="23"/>
  <c r="F99" i="23"/>
  <c r="F100" i="23"/>
  <c r="F101" i="23"/>
  <c r="F102" i="23"/>
  <c r="F103" i="23"/>
  <c r="F104" i="23"/>
  <c r="F105" i="23"/>
  <c r="F106" i="23"/>
  <c r="F107" i="23"/>
  <c r="F108" i="23"/>
  <c r="F109" i="23"/>
  <c r="F110" i="23"/>
  <c r="F111" i="23"/>
  <c r="F112" i="23"/>
  <c r="F113" i="23"/>
  <c r="F114" i="23"/>
  <c r="F115" i="23"/>
  <c r="F116" i="23"/>
  <c r="F117" i="23"/>
  <c r="F118" i="23"/>
  <c r="F119" i="23"/>
  <c r="F120" i="23"/>
  <c r="F121" i="23"/>
  <c r="F122" i="23"/>
  <c r="F123" i="23"/>
  <c r="F124" i="23"/>
  <c r="F125" i="23"/>
  <c r="F126" i="23"/>
  <c r="F127" i="23"/>
  <c r="F128" i="23"/>
  <c r="F129" i="23"/>
  <c r="F130" i="23"/>
  <c r="F131" i="23"/>
  <c r="F132" i="23"/>
  <c r="F133" i="23"/>
  <c r="F134" i="23"/>
  <c r="F135" i="23"/>
  <c r="F136" i="23"/>
  <c r="F137" i="23"/>
  <c r="F35" i="23"/>
  <c r="G26" i="23"/>
  <c r="G27" i="23"/>
  <c r="F26" i="23"/>
  <c r="F27" i="23"/>
  <c r="G18" i="23"/>
  <c r="G19" i="23"/>
  <c r="G20" i="23"/>
  <c r="G21" i="23"/>
  <c r="F18" i="23"/>
  <c r="F19" i="23"/>
  <c r="F20" i="23"/>
  <c r="F21" i="23"/>
  <c r="F22" i="23"/>
  <c r="G14" i="23"/>
  <c r="F14" i="23"/>
  <c r="F15" i="23"/>
  <c r="G9" i="23"/>
  <c r="G10" i="23"/>
  <c r="F9" i="23"/>
  <c r="F10" i="23"/>
  <c r="F11" i="23"/>
  <c r="G6" i="24" l="1"/>
  <c r="G150" i="24"/>
  <c r="F150" i="24"/>
  <c r="G70" i="24"/>
  <c r="F70" i="24"/>
  <c r="F71" i="24"/>
  <c r="F72" i="24"/>
  <c r="F73" i="24"/>
  <c r="F74" i="24"/>
  <c r="F75" i="24"/>
  <c r="F76" i="24"/>
  <c r="F77" i="24"/>
  <c r="F78" i="24"/>
  <c r="F79" i="24"/>
  <c r="F80" i="24"/>
  <c r="F81" i="24"/>
  <c r="F82" i="24"/>
  <c r="F83" i="24"/>
  <c r="F84" i="24"/>
  <c r="F85" i="24"/>
  <c r="F86" i="24"/>
  <c r="F87" i="24"/>
  <c r="F88" i="24"/>
  <c r="F89" i="24"/>
  <c r="F90" i="24"/>
  <c r="F91" i="24"/>
  <c r="F92" i="24"/>
  <c r="F93" i="24"/>
  <c r="F94" i="24"/>
  <c r="F95" i="24"/>
  <c r="F96" i="24"/>
  <c r="F97" i="24"/>
  <c r="F98" i="24"/>
  <c r="F99" i="24"/>
  <c r="F100" i="24"/>
  <c r="F101" i="24"/>
  <c r="F102" i="24"/>
  <c r="F103" i="24"/>
  <c r="F104" i="24"/>
  <c r="F105" i="24"/>
  <c r="F106" i="24"/>
  <c r="F107" i="24"/>
  <c r="F108" i="24"/>
  <c r="F109" i="24"/>
  <c r="F110" i="24"/>
  <c r="F111" i="24"/>
  <c r="F112" i="24"/>
  <c r="F113" i="24"/>
  <c r="F114" i="24"/>
  <c r="F115" i="24"/>
  <c r="F116" i="24"/>
  <c r="F117" i="24"/>
  <c r="F118" i="24"/>
  <c r="F119" i="24"/>
  <c r="F120" i="24"/>
  <c r="F121" i="24"/>
  <c r="F122" i="24"/>
  <c r="F123" i="24"/>
  <c r="F124" i="24"/>
  <c r="F125" i="24"/>
  <c r="F126" i="24"/>
  <c r="F127" i="24"/>
  <c r="F128" i="24"/>
  <c r="F129" i="24"/>
  <c r="F130" i="24"/>
  <c r="F131" i="24"/>
  <c r="F132" i="24"/>
  <c r="F133" i="24"/>
  <c r="F134" i="24"/>
  <c r="F135" i="24"/>
  <c r="F136" i="24"/>
  <c r="F137" i="24"/>
  <c r="F138" i="24"/>
  <c r="F139" i="24"/>
  <c r="F140" i="24"/>
  <c r="F141" i="24"/>
  <c r="F142" i="24"/>
  <c r="F143" i="24"/>
  <c r="F144" i="24"/>
  <c r="F145" i="24"/>
  <c r="F146" i="24"/>
  <c r="F147" i="24"/>
  <c r="F148" i="24"/>
  <c r="G40" i="24"/>
  <c r="G41" i="24"/>
  <c r="G42" i="24"/>
  <c r="G43" i="24"/>
  <c r="G44" i="24"/>
  <c r="G45" i="24"/>
  <c r="G46" i="24"/>
  <c r="G47" i="24"/>
  <c r="G39" i="24"/>
  <c r="F7" i="24"/>
  <c r="F8" i="24"/>
  <c r="F9" i="24"/>
  <c r="F10" i="24"/>
  <c r="F11" i="24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31" i="24"/>
  <c r="F32" i="24"/>
  <c r="F33" i="24"/>
  <c r="F34" i="24"/>
  <c r="F35" i="24"/>
  <c r="F36" i="24"/>
  <c r="F37" i="24"/>
  <c r="F38" i="24"/>
  <c r="F39" i="24"/>
  <c r="F40" i="24"/>
  <c r="F41" i="24"/>
  <c r="F42" i="24"/>
  <c r="F43" i="24"/>
  <c r="F44" i="24"/>
  <c r="F45" i="24"/>
  <c r="F46" i="24"/>
  <c r="F47" i="24"/>
  <c r="F48" i="24"/>
  <c r="F49" i="24"/>
  <c r="F50" i="24"/>
  <c r="F51" i="24"/>
  <c r="F52" i="24"/>
  <c r="F53" i="24"/>
  <c r="F54" i="24"/>
  <c r="F55" i="24"/>
  <c r="F56" i="24"/>
  <c r="F57" i="24"/>
  <c r="F58" i="24"/>
  <c r="F59" i="24"/>
  <c r="F60" i="24"/>
  <c r="F61" i="24"/>
  <c r="F62" i="24"/>
  <c r="F63" i="24"/>
  <c r="F64" i="24"/>
  <c r="F65" i="24"/>
  <c r="F66" i="24"/>
  <c r="F67" i="24"/>
  <c r="F68" i="24"/>
  <c r="G149" i="24"/>
  <c r="G69" i="24"/>
  <c r="G5" i="24"/>
  <c r="G30" i="23"/>
  <c r="G31" i="23"/>
  <c r="F30" i="23"/>
  <c r="F31" i="23"/>
  <c r="D30" i="23"/>
  <c r="E30" i="23"/>
  <c r="C30" i="23"/>
  <c r="D31" i="23"/>
  <c r="E31" i="23"/>
  <c r="C31" i="23"/>
  <c r="H377" i="26" l="1"/>
  <c r="H376" i="26"/>
  <c r="H371" i="26"/>
  <c r="G328" i="26"/>
  <c r="G374" i="26"/>
  <c r="G375" i="26"/>
  <c r="G376" i="26"/>
  <c r="G377" i="26"/>
  <c r="G373" i="26"/>
  <c r="G338" i="26"/>
  <c r="G339" i="26"/>
  <c r="G340" i="26"/>
  <c r="G341" i="26"/>
  <c r="G342" i="26"/>
  <c r="G343" i="26"/>
  <c r="G344" i="26"/>
  <c r="G345" i="26"/>
  <c r="G346" i="26"/>
  <c r="G347" i="26"/>
  <c r="G348" i="26"/>
  <c r="G349" i="26"/>
  <c r="G350" i="26"/>
  <c r="G351" i="26"/>
  <c r="G352" i="26"/>
  <c r="G353" i="26"/>
  <c r="G354" i="26"/>
  <c r="G355" i="26"/>
  <c r="G356" i="26"/>
  <c r="G357" i="26"/>
  <c r="G358" i="26"/>
  <c r="G359" i="26"/>
  <c r="G360" i="26"/>
  <c r="G361" i="26"/>
  <c r="G362" i="26"/>
  <c r="G363" i="26"/>
  <c r="G364" i="26"/>
  <c r="G365" i="26"/>
  <c r="G366" i="26"/>
  <c r="G368" i="26"/>
  <c r="G369" i="26"/>
  <c r="G370" i="26"/>
  <c r="G371" i="26"/>
  <c r="G337" i="26"/>
  <c r="G335" i="26"/>
  <c r="G329" i="26"/>
  <c r="G330" i="26"/>
  <c r="G332" i="26"/>
  <c r="G333" i="26"/>
  <c r="G334" i="26"/>
  <c r="G306" i="26"/>
  <c r="G307" i="26"/>
  <c r="G308" i="26"/>
  <c r="G309" i="26"/>
  <c r="G310" i="26"/>
  <c r="G311" i="26"/>
  <c r="G312" i="26"/>
  <c r="G313" i="26"/>
  <c r="G314" i="26"/>
  <c r="G315" i="26"/>
  <c r="G316" i="26"/>
  <c r="G317" i="26"/>
  <c r="G318" i="26"/>
  <c r="G319" i="26"/>
  <c r="G320" i="26"/>
  <c r="G321" i="26"/>
  <c r="G322" i="26"/>
  <c r="G305" i="26"/>
  <c r="H300" i="26"/>
  <c r="H301" i="26"/>
  <c r="H299" i="26"/>
  <c r="H294" i="26"/>
  <c r="G302" i="26"/>
  <c r="G288" i="26"/>
  <c r="G289" i="26"/>
  <c r="G290" i="26"/>
  <c r="G291" i="26"/>
  <c r="G292" i="26"/>
  <c r="G293" i="26"/>
  <c r="G294" i="26"/>
  <c r="G296" i="26"/>
  <c r="G297" i="26"/>
  <c r="G298" i="26"/>
  <c r="G299" i="26"/>
  <c r="G300" i="26"/>
  <c r="G301" i="26"/>
  <c r="H275" i="26"/>
  <c r="H276" i="26"/>
  <c r="H277" i="26"/>
  <c r="H278" i="26"/>
  <c r="H279" i="26"/>
  <c r="H281" i="26"/>
  <c r="H282" i="26"/>
  <c r="H283" i="26"/>
  <c r="H284" i="26"/>
  <c r="H285" i="26"/>
  <c r="H286" i="26"/>
  <c r="H287" i="26"/>
  <c r="H273" i="26"/>
  <c r="G274" i="26"/>
  <c r="G275" i="26"/>
  <c r="G276" i="26"/>
  <c r="G277" i="26"/>
  <c r="G278" i="26"/>
  <c r="G279" i="26"/>
  <c r="G280" i="26"/>
  <c r="G281" i="26"/>
  <c r="G282" i="26"/>
  <c r="G283" i="26"/>
  <c r="G284" i="26"/>
  <c r="G285" i="26"/>
  <c r="G286" i="26"/>
  <c r="G287" i="26"/>
  <c r="G264" i="26"/>
  <c r="G265" i="26"/>
  <c r="G266" i="26"/>
  <c r="G267" i="26"/>
  <c r="G268" i="26"/>
  <c r="G269" i="26"/>
  <c r="G270" i="26"/>
  <c r="G271" i="26"/>
  <c r="G272" i="26"/>
  <c r="G273" i="26"/>
  <c r="G248" i="26"/>
  <c r="G249" i="26"/>
  <c r="G250" i="26"/>
  <c r="G251" i="26"/>
  <c r="G252" i="26"/>
  <c r="G253" i="26"/>
  <c r="G254" i="26"/>
  <c r="G255" i="26"/>
  <c r="G256" i="26"/>
  <c r="G257" i="26"/>
  <c r="G258" i="26"/>
  <c r="G259" i="26"/>
  <c r="G260" i="26"/>
  <c r="G261" i="26"/>
  <c r="G262" i="26"/>
  <c r="G263" i="26"/>
  <c r="G238" i="26"/>
  <c r="G239" i="26"/>
  <c r="G241" i="26"/>
  <c r="G242" i="26"/>
  <c r="G243" i="26"/>
  <c r="G244" i="26"/>
  <c r="G245" i="26"/>
  <c r="G246" i="26"/>
  <c r="G247" i="26"/>
  <c r="G230" i="26"/>
  <c r="G231" i="26"/>
  <c r="G232" i="26"/>
  <c r="G233" i="26"/>
  <c r="G234" i="26"/>
  <c r="G235" i="26"/>
  <c r="G236" i="26"/>
  <c r="G237" i="26"/>
  <c r="G224" i="26"/>
  <c r="G225" i="26"/>
  <c r="G226" i="26"/>
  <c r="G227" i="26"/>
  <c r="G228" i="26"/>
  <c r="G229" i="26"/>
  <c r="G213" i="26"/>
  <c r="G214" i="26"/>
  <c r="G215" i="26"/>
  <c r="G216" i="26"/>
  <c r="G217" i="26"/>
  <c r="G218" i="26"/>
  <c r="G219" i="26"/>
  <c r="G220" i="26"/>
  <c r="G221" i="26"/>
  <c r="G222" i="26"/>
  <c r="G223" i="26"/>
  <c r="G202" i="26"/>
  <c r="G203" i="26"/>
  <c r="G204" i="26"/>
  <c r="G205" i="26"/>
  <c r="G206" i="26"/>
  <c r="G207" i="26"/>
  <c r="G208" i="26"/>
  <c r="G209" i="26"/>
  <c r="G210" i="26"/>
  <c r="G211" i="26"/>
  <c r="G212" i="26"/>
  <c r="G194" i="26"/>
  <c r="G195" i="26"/>
  <c r="G196" i="26"/>
  <c r="G197" i="26"/>
  <c r="G198" i="26"/>
  <c r="G199" i="26"/>
  <c r="G200" i="26"/>
  <c r="G201" i="26"/>
  <c r="H194" i="26"/>
  <c r="H195" i="26"/>
  <c r="H198" i="26"/>
  <c r="H199" i="26"/>
  <c r="G184" i="26"/>
  <c r="G186" i="26"/>
  <c r="G188" i="26"/>
  <c r="G189" i="26"/>
  <c r="G191" i="26"/>
  <c r="G177" i="26"/>
  <c r="H176" i="26"/>
  <c r="G176" i="26"/>
  <c r="G172" i="26"/>
  <c r="G173" i="26"/>
  <c r="G174" i="26"/>
  <c r="G175" i="26"/>
  <c r="H163" i="26"/>
  <c r="H165" i="26"/>
  <c r="H166" i="26"/>
  <c r="H167" i="26"/>
  <c r="H168" i="26"/>
  <c r="H169" i="26"/>
  <c r="G157" i="26"/>
  <c r="G158" i="26"/>
  <c r="G159" i="26"/>
  <c r="G160" i="26"/>
  <c r="G161" i="26"/>
  <c r="G163" i="26"/>
  <c r="G165" i="26"/>
  <c r="G166" i="26"/>
  <c r="G167" i="26"/>
  <c r="G168" i="26"/>
  <c r="G169" i="26"/>
  <c r="G142" i="26"/>
  <c r="G143" i="26"/>
  <c r="G144" i="26"/>
  <c r="G148" i="26"/>
  <c r="G152" i="26"/>
  <c r="G153" i="26"/>
  <c r="G154" i="26"/>
  <c r="G136" i="26"/>
  <c r="G137" i="26"/>
  <c r="G120" i="26"/>
  <c r="G121" i="26"/>
  <c r="G122" i="26"/>
  <c r="G124" i="26"/>
  <c r="G125" i="26"/>
  <c r="G126" i="26"/>
  <c r="G127" i="26"/>
  <c r="G128" i="26"/>
  <c r="G129" i="26"/>
  <c r="G130" i="26"/>
  <c r="G131" i="26"/>
  <c r="G102" i="26"/>
  <c r="G103" i="26"/>
  <c r="G104" i="26"/>
  <c r="G105" i="26"/>
  <c r="G107" i="26"/>
  <c r="G89" i="26"/>
  <c r="G90" i="26"/>
  <c r="G91" i="26"/>
  <c r="G94" i="26"/>
  <c r="G95" i="26"/>
  <c r="G96" i="26"/>
  <c r="G97" i="26"/>
  <c r="G98" i="26"/>
  <c r="G99" i="26"/>
  <c r="G72" i="26"/>
  <c r="G73" i="26"/>
  <c r="G75" i="26"/>
  <c r="G78" i="26"/>
  <c r="G80" i="26"/>
  <c r="G81" i="26"/>
  <c r="G82" i="26"/>
  <c r="G83" i="26"/>
  <c r="G69" i="26"/>
  <c r="G70" i="26"/>
  <c r="G49" i="26"/>
  <c r="G50" i="26"/>
  <c r="G51" i="26"/>
  <c r="G52" i="26"/>
  <c r="G53" i="26"/>
  <c r="G55" i="26"/>
  <c r="G56" i="26"/>
  <c r="G57" i="26"/>
  <c r="G58" i="26"/>
  <c r="G59" i="26"/>
  <c r="G60" i="26"/>
  <c r="G61" i="26"/>
  <c r="G62" i="26"/>
  <c r="G63" i="26"/>
  <c r="G64" i="26"/>
  <c r="G65" i="26"/>
  <c r="G66" i="26"/>
  <c r="G39" i="26"/>
  <c r="G40" i="26"/>
  <c r="G41" i="26"/>
  <c r="G43" i="26"/>
  <c r="G44" i="26"/>
  <c r="G45" i="26"/>
  <c r="G46" i="26"/>
  <c r="G47" i="26"/>
  <c r="G84" i="26"/>
  <c r="G179" i="26"/>
  <c r="H26" i="26"/>
  <c r="H31" i="26"/>
  <c r="H32" i="26"/>
  <c r="G26" i="26"/>
  <c r="G28" i="26"/>
  <c r="G29" i="26"/>
  <c r="G31" i="26"/>
  <c r="G32" i="26"/>
  <c r="H15" i="26"/>
  <c r="H16" i="26"/>
  <c r="G11" i="26"/>
  <c r="G12" i="26"/>
  <c r="G13" i="26"/>
  <c r="G14" i="26"/>
  <c r="G15" i="26"/>
  <c r="G16" i="26"/>
  <c r="G17" i="26"/>
  <c r="G19" i="26"/>
  <c r="G20" i="26"/>
  <c r="G21" i="26"/>
  <c r="G22" i="26"/>
  <c r="G23" i="26"/>
  <c r="H130" i="22" l="1"/>
  <c r="H131" i="22"/>
  <c r="H132" i="22"/>
  <c r="H133" i="22"/>
  <c r="H134" i="22"/>
  <c r="H136" i="22"/>
  <c r="H137" i="22"/>
  <c r="H139" i="22"/>
  <c r="H140" i="22"/>
  <c r="H142" i="22"/>
  <c r="H115" i="22"/>
  <c r="H117" i="22"/>
  <c r="H118" i="22"/>
  <c r="H125" i="22"/>
  <c r="H95" i="22"/>
  <c r="H96" i="22"/>
  <c r="H98" i="22"/>
  <c r="H101" i="22"/>
  <c r="H102" i="22"/>
  <c r="H103" i="22"/>
  <c r="H111" i="22"/>
  <c r="H92" i="22"/>
  <c r="H32" i="22"/>
  <c r="H33" i="22"/>
  <c r="H35" i="22"/>
  <c r="H37" i="22"/>
  <c r="H38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G78" i="22"/>
  <c r="G79" i="22"/>
  <c r="G80" i="22"/>
  <c r="G81" i="22"/>
  <c r="G82" i="22"/>
  <c r="G84" i="22"/>
  <c r="G85" i="22"/>
  <c r="G86" i="22"/>
  <c r="G87" i="22"/>
  <c r="G88" i="22"/>
  <c r="G89" i="22"/>
  <c r="G90" i="22"/>
  <c r="G91" i="22"/>
  <c r="G92" i="22"/>
  <c r="G93" i="22"/>
  <c r="G94" i="22"/>
  <c r="G95" i="22"/>
  <c r="G96" i="22"/>
  <c r="G97" i="22"/>
  <c r="G98" i="22"/>
  <c r="G99" i="22"/>
  <c r="G100" i="22"/>
  <c r="G101" i="22"/>
  <c r="G102" i="22"/>
  <c r="G103" i="22"/>
  <c r="G104" i="22"/>
  <c r="G105" i="22"/>
  <c r="G106" i="22"/>
  <c r="G107" i="22"/>
  <c r="G108" i="22"/>
  <c r="G109" i="22"/>
  <c r="G110" i="22"/>
  <c r="G111" i="22"/>
  <c r="G112" i="22"/>
  <c r="G114" i="22"/>
  <c r="G115" i="22"/>
  <c r="G116" i="22"/>
  <c r="G117" i="22"/>
  <c r="G118" i="22"/>
  <c r="G119" i="22"/>
  <c r="G120" i="22"/>
  <c r="G121" i="22"/>
  <c r="G122" i="22"/>
  <c r="G123" i="22"/>
  <c r="G124" i="22"/>
  <c r="G125" i="22"/>
  <c r="G126" i="22"/>
  <c r="G127" i="22"/>
  <c r="G128" i="22"/>
  <c r="G129" i="22"/>
  <c r="G130" i="22"/>
  <c r="G131" i="22"/>
  <c r="G132" i="22"/>
  <c r="G133" i="22"/>
  <c r="G134" i="22"/>
  <c r="G135" i="22"/>
  <c r="G136" i="22"/>
  <c r="G137" i="22"/>
  <c r="G138" i="22"/>
  <c r="G139" i="22"/>
  <c r="G140" i="22"/>
  <c r="G141" i="22"/>
  <c r="G142" i="22"/>
  <c r="G143" i="22"/>
  <c r="G144" i="22"/>
  <c r="H27" i="22"/>
  <c r="G27" i="22"/>
  <c r="H13" i="22"/>
  <c r="H16" i="22"/>
  <c r="H18" i="22"/>
  <c r="H20" i="22"/>
  <c r="G13" i="22"/>
  <c r="G14" i="22"/>
  <c r="G16" i="22"/>
  <c r="G18" i="22"/>
  <c r="G20" i="22"/>
  <c r="G21" i="22"/>
  <c r="G23" i="22"/>
  <c r="G25" i="22"/>
  <c r="G327" i="26" l="1"/>
  <c r="G10" i="22"/>
  <c r="G125" i="14"/>
  <c r="H116" i="14"/>
  <c r="G116" i="14"/>
  <c r="G117" i="14"/>
  <c r="G115" i="14"/>
  <c r="H89" i="14"/>
  <c r="G53" i="14"/>
  <c r="G55" i="14"/>
  <c r="G57" i="14"/>
  <c r="G59" i="14"/>
  <c r="G60" i="14"/>
  <c r="G64" i="14"/>
  <c r="G66" i="14"/>
  <c r="G67" i="14"/>
  <c r="G68" i="14"/>
  <c r="G52" i="14"/>
  <c r="H45" i="14"/>
  <c r="G46" i="14"/>
  <c r="G47" i="14"/>
  <c r="G48" i="14"/>
  <c r="G49" i="14"/>
  <c r="G50" i="14"/>
  <c r="G45" i="14"/>
  <c r="F47" i="14"/>
  <c r="F46" i="14"/>
  <c r="F50" i="14" s="1"/>
  <c r="E50" i="14"/>
  <c r="C47" i="14"/>
  <c r="C46" i="14"/>
  <c r="C50" i="14" s="1"/>
  <c r="D50" i="14"/>
  <c r="D47" i="14"/>
  <c r="D46" i="14"/>
  <c r="G325" i="26" l="1"/>
  <c r="G326" i="26"/>
  <c r="F184" i="9"/>
  <c r="G184" i="9"/>
  <c r="H184" i="9"/>
  <c r="I184" i="9"/>
  <c r="J184" i="9"/>
  <c r="K184" i="9"/>
  <c r="L184" i="9"/>
  <c r="M184" i="9"/>
  <c r="O184" i="9"/>
  <c r="P184" i="9"/>
  <c r="E184" i="9"/>
  <c r="H32" i="14" l="1"/>
  <c r="G10" i="14"/>
  <c r="F26" i="22" l="1"/>
  <c r="F24" i="22"/>
  <c r="G24" i="22" s="1"/>
  <c r="E26" i="22"/>
  <c r="D26" i="22"/>
  <c r="E149" i="14" l="1"/>
  <c r="F149" i="14"/>
  <c r="C149" i="14"/>
  <c r="F151" i="14"/>
  <c r="F152" i="14"/>
  <c r="F150" i="14"/>
  <c r="F145" i="14"/>
  <c r="D151" i="14"/>
  <c r="D152" i="14"/>
  <c r="E151" i="14"/>
  <c r="E152" i="14"/>
  <c r="E150" i="14"/>
  <c r="E145" i="14"/>
  <c r="C152" i="14"/>
  <c r="C151" i="14"/>
  <c r="C150" i="14"/>
  <c r="F52" i="14"/>
  <c r="D52" i="14"/>
  <c r="C52" i="14"/>
  <c r="C57" i="14"/>
  <c r="C15" i="14"/>
  <c r="F15" i="14" l="1"/>
  <c r="D15" i="14"/>
  <c r="D9" i="14"/>
  <c r="E5" i="24"/>
  <c r="E153" i="24"/>
  <c r="D5" i="24"/>
  <c r="C5" i="24"/>
  <c r="D153" i="24"/>
  <c r="C153" i="24"/>
  <c r="D149" i="24"/>
  <c r="E149" i="24"/>
  <c r="C149" i="24"/>
  <c r="D69" i="24"/>
  <c r="C69" i="24"/>
  <c r="E100" i="24"/>
  <c r="E69" i="24" s="1"/>
  <c r="D6" i="24"/>
  <c r="C65" i="24"/>
  <c r="C53" i="24"/>
  <c r="C51" i="24"/>
  <c r="C6" i="24" s="1"/>
  <c r="E19" i="24"/>
  <c r="E16" i="24"/>
  <c r="E6" i="24" s="1"/>
  <c r="C136" i="23"/>
  <c r="D136" i="23"/>
  <c r="E136" i="23"/>
  <c r="D130" i="23"/>
  <c r="E130" i="23"/>
  <c r="C130" i="23"/>
  <c r="D127" i="23"/>
  <c r="E127" i="23"/>
  <c r="C129" i="23"/>
  <c r="C127" i="23" s="1"/>
  <c r="D35" i="23"/>
  <c r="E116" i="23"/>
  <c r="E84" i="23"/>
  <c r="D84" i="23"/>
  <c r="C84" i="23"/>
  <c r="C79" i="23"/>
  <c r="C35" i="23" s="1"/>
  <c r="E48" i="23"/>
  <c r="E35" i="23" s="1"/>
  <c r="E45" i="23"/>
  <c r="D25" i="23" l="1"/>
  <c r="E25" i="23"/>
  <c r="C25" i="23"/>
  <c r="D17" i="23"/>
  <c r="E17" i="23"/>
  <c r="C17" i="23"/>
  <c r="D13" i="23"/>
  <c r="C13" i="23"/>
  <c r="E16" i="23"/>
  <c r="E13" i="23" s="1"/>
  <c r="C8" i="23"/>
  <c r="D8" i="23"/>
  <c r="E9" i="23"/>
  <c r="E8" i="23" s="1"/>
  <c r="D144" i="22"/>
  <c r="D127" i="22" s="1"/>
  <c r="F142" i="22"/>
  <c r="F134" i="22"/>
  <c r="E134" i="22"/>
  <c r="E127" i="22" s="1"/>
  <c r="F114" i="22"/>
  <c r="D121" i="22"/>
  <c r="D118" i="22"/>
  <c r="E117" i="22"/>
  <c r="E115" i="22"/>
  <c r="D109" i="22"/>
  <c r="E108" i="22"/>
  <c r="D108" i="22"/>
  <c r="E107" i="22"/>
  <c r="D107" i="22"/>
  <c r="E106" i="22"/>
  <c r="D106" i="22"/>
  <c r="E105" i="22"/>
  <c r="D105" i="22"/>
  <c r="D104" i="22"/>
  <c r="D103" i="22"/>
  <c r="E102" i="22"/>
  <c r="D102" i="22"/>
  <c r="E101" i="22"/>
  <c r="E100" i="22"/>
  <c r="D100" i="22"/>
  <c r="E99" i="22"/>
  <c r="D99" i="22"/>
  <c r="F98" i="22"/>
  <c r="E98" i="22"/>
  <c r="D98" i="22"/>
  <c r="E97" i="22"/>
  <c r="F95" i="22"/>
  <c r="E95" i="22"/>
  <c r="D95" i="22"/>
  <c r="F84" i="22"/>
  <c r="D89" i="22"/>
  <c r="E88" i="22"/>
  <c r="D88" i="22"/>
  <c r="E87" i="22"/>
  <c r="D87" i="22"/>
  <c r="E85" i="22"/>
  <c r="D85" i="22"/>
  <c r="D48" i="22"/>
  <c r="E48" i="22"/>
  <c r="F82" i="22"/>
  <c r="F79" i="22"/>
  <c r="F77" i="22"/>
  <c r="F76" i="22"/>
  <c r="F75" i="22"/>
  <c r="F66" i="22"/>
  <c r="F63" i="22"/>
  <c r="F61" i="22"/>
  <c r="F60" i="22"/>
  <c r="F59" i="22"/>
  <c r="F58" i="22"/>
  <c r="F57" i="22"/>
  <c r="F56" i="22"/>
  <c r="F54" i="22"/>
  <c r="F53" i="22"/>
  <c r="F52" i="22"/>
  <c r="F49" i="22"/>
  <c r="D31" i="22"/>
  <c r="E31" i="22"/>
  <c r="F46" i="22"/>
  <c r="F45" i="22"/>
  <c r="F44" i="22"/>
  <c r="F43" i="22"/>
  <c r="F42" i="22"/>
  <c r="F41" i="22"/>
  <c r="F40" i="22"/>
  <c r="F39" i="22"/>
  <c r="E12" i="22"/>
  <c r="D12" i="22"/>
  <c r="F22" i="22"/>
  <c r="G22" i="22" s="1"/>
  <c r="F19" i="22"/>
  <c r="F17" i="22"/>
  <c r="F15" i="22"/>
  <c r="E7" i="22"/>
  <c r="D7" i="22"/>
  <c r="D6" i="22" s="1"/>
  <c r="F9" i="22"/>
  <c r="F8" i="22"/>
  <c r="D183" i="26"/>
  <c r="D182" i="26" s="1"/>
  <c r="D180" i="26" s="1"/>
  <c r="E183" i="26"/>
  <c r="E182" i="26" s="1"/>
  <c r="E180" i="26" s="1"/>
  <c r="F376" i="26"/>
  <c r="D376" i="26"/>
  <c r="F374" i="26"/>
  <c r="D374" i="26"/>
  <c r="F373" i="26"/>
  <c r="E373" i="26"/>
  <c r="E371" i="26" s="1"/>
  <c r="F369" i="26"/>
  <c r="F368" i="26" s="1"/>
  <c r="E369" i="26"/>
  <c r="E368" i="26" s="1"/>
  <c r="D369" i="26"/>
  <c r="D368" i="26" s="1"/>
  <c r="F364" i="26"/>
  <c r="F363" i="26" s="1"/>
  <c r="F361" i="26" s="1"/>
  <c r="E364" i="26"/>
  <c r="E363" i="26" s="1"/>
  <c r="E361" i="26" s="1"/>
  <c r="D364" i="26"/>
  <c r="D363" i="26" s="1"/>
  <c r="F359" i="26"/>
  <c r="F358" i="26" s="1"/>
  <c r="E359" i="26"/>
  <c r="D359" i="26"/>
  <c r="F344" i="26"/>
  <c r="E344" i="26"/>
  <c r="D344" i="26"/>
  <c r="F338" i="26"/>
  <c r="E338" i="26"/>
  <c r="D338" i="26"/>
  <c r="F333" i="26"/>
  <c r="F332" i="26" s="1"/>
  <c r="F330" i="26" s="1"/>
  <c r="E333" i="26"/>
  <c r="E332" i="26" s="1"/>
  <c r="E330" i="26" s="1"/>
  <c r="D333" i="26"/>
  <c r="D332" i="26" s="1"/>
  <c r="D330" i="26" s="1"/>
  <c r="D329" i="26"/>
  <c r="D328" i="26"/>
  <c r="D325" i="26"/>
  <c r="F324" i="26"/>
  <c r="E324" i="26"/>
  <c r="E323" i="26" s="1"/>
  <c r="F321" i="26"/>
  <c r="F320" i="26" s="1"/>
  <c r="E321" i="26"/>
  <c r="E320" i="26" s="1"/>
  <c r="D321" i="26"/>
  <c r="D320" i="26" s="1"/>
  <c r="F314" i="26"/>
  <c r="E314" i="26"/>
  <c r="D314" i="26"/>
  <c r="F313" i="26"/>
  <c r="F311" i="26"/>
  <c r="E306" i="26"/>
  <c r="D306" i="26"/>
  <c r="D305" i="26" s="1"/>
  <c r="F301" i="26"/>
  <c r="F300" i="26" s="1"/>
  <c r="F299" i="26" s="1"/>
  <c r="E300" i="26"/>
  <c r="E299" i="26" s="1"/>
  <c r="D300" i="26"/>
  <c r="D299" i="26" s="1"/>
  <c r="F297" i="26"/>
  <c r="F296" i="26" s="1"/>
  <c r="E297" i="26"/>
  <c r="E296" i="26" s="1"/>
  <c r="D297" i="26"/>
  <c r="D296" i="26" s="1"/>
  <c r="F290" i="26"/>
  <c r="F289" i="26" s="1"/>
  <c r="F288" i="26" s="1"/>
  <c r="E289" i="26"/>
  <c r="E288" i="26" s="1"/>
  <c r="D289" i="26"/>
  <c r="D288" i="26" s="1"/>
  <c r="F282" i="26"/>
  <c r="F281" i="26" s="1"/>
  <c r="E282" i="26"/>
  <c r="E281" i="26" s="1"/>
  <c r="D282" i="26"/>
  <c r="D281" i="26" s="1"/>
  <c r="F277" i="26"/>
  <c r="F276" i="26" s="1"/>
  <c r="F275" i="26" s="1"/>
  <c r="F273" i="26" s="1"/>
  <c r="E276" i="26"/>
  <c r="E275" i="26" s="1"/>
  <c r="E273" i="26" s="1"/>
  <c r="D276" i="26"/>
  <c r="D275" i="26" s="1"/>
  <c r="D273" i="26" s="1"/>
  <c r="F269" i="26"/>
  <c r="E269" i="26"/>
  <c r="D269" i="26"/>
  <c r="F265" i="26"/>
  <c r="E265" i="26"/>
  <c r="D265" i="26"/>
  <c r="D255" i="26"/>
  <c r="D254" i="26"/>
  <c r="D252" i="26"/>
  <c r="D251" i="26"/>
  <c r="F247" i="26"/>
  <c r="E247" i="26"/>
  <c r="D246" i="26"/>
  <c r="D245" i="26"/>
  <c r="F242" i="26"/>
  <c r="F241" i="26" s="1"/>
  <c r="F239" i="26" s="1"/>
  <c r="E242" i="26"/>
  <c r="F233" i="26"/>
  <c r="E233" i="26"/>
  <c r="D233" i="26"/>
  <c r="F226" i="26"/>
  <c r="E226" i="26"/>
  <c r="D226" i="26"/>
  <c r="D224" i="26"/>
  <c r="D217" i="26" s="1"/>
  <c r="F217" i="26"/>
  <c r="E217" i="26"/>
  <c r="D216" i="26"/>
  <c r="D214" i="26" s="1"/>
  <c r="F214" i="26"/>
  <c r="E214" i="26"/>
  <c r="F209" i="26"/>
  <c r="F204" i="26" s="1"/>
  <c r="E204" i="26"/>
  <c r="D204" i="26"/>
  <c r="F193" i="26"/>
  <c r="E193" i="26"/>
  <c r="D193" i="26"/>
  <c r="F187" i="26"/>
  <c r="E187" i="26"/>
  <c r="D187" i="26"/>
  <c r="E185" i="26"/>
  <c r="D185" i="26"/>
  <c r="F183" i="26"/>
  <c r="D178" i="26"/>
  <c r="E171" i="26"/>
  <c r="F171" i="26"/>
  <c r="G171" i="26" s="1"/>
  <c r="E164" i="26"/>
  <c r="F164" i="26"/>
  <c r="D164" i="26"/>
  <c r="E156" i="26"/>
  <c r="F156" i="26"/>
  <c r="D151" i="26"/>
  <c r="E141" i="26"/>
  <c r="D141" i="26"/>
  <c r="F178" i="26"/>
  <c r="D175" i="26"/>
  <c r="D171" i="26" s="1"/>
  <c r="F162" i="26"/>
  <c r="D160" i="26"/>
  <c r="D158" i="26"/>
  <c r="F151" i="26"/>
  <c r="G151" i="26" s="1"/>
  <c r="E151" i="26"/>
  <c r="F150" i="26"/>
  <c r="D150" i="26"/>
  <c r="F149" i="26"/>
  <c r="D149" i="26"/>
  <c r="F147" i="26"/>
  <c r="G147" i="26" s="1"/>
  <c r="F146" i="26"/>
  <c r="G146" i="26" s="1"/>
  <c r="F145" i="26"/>
  <c r="F135" i="26"/>
  <c r="E135" i="26"/>
  <c r="E134" i="26" s="1"/>
  <c r="E132" i="26" s="1"/>
  <c r="D135" i="26"/>
  <c r="D134" i="26" s="1"/>
  <c r="D132" i="26" s="1"/>
  <c r="E119" i="26"/>
  <c r="D123" i="26"/>
  <c r="E123" i="26"/>
  <c r="F123" i="26"/>
  <c r="F119" i="26"/>
  <c r="D119" i="26"/>
  <c r="D118" i="26" s="1"/>
  <c r="D115" i="26"/>
  <c r="D112" i="26"/>
  <c r="D110" i="26"/>
  <c r="D108" i="26"/>
  <c r="F106" i="26"/>
  <c r="G106" i="26" s="1"/>
  <c r="E106" i="26"/>
  <c r="D105" i="26"/>
  <c r="D102" i="26"/>
  <c r="F101" i="26"/>
  <c r="G101" i="26" s="1"/>
  <c r="E101" i="26"/>
  <c r="E100" i="26" s="1"/>
  <c r="D92" i="26"/>
  <c r="E92" i="26"/>
  <c r="D88" i="26"/>
  <c r="E88" i="26"/>
  <c r="F88" i="26"/>
  <c r="F93" i="26"/>
  <c r="D38" i="26"/>
  <c r="E38" i="26"/>
  <c r="F68" i="26"/>
  <c r="D48" i="26"/>
  <c r="E48" i="26"/>
  <c r="F79" i="26"/>
  <c r="G79" i="26" s="1"/>
  <c r="E79" i="26"/>
  <c r="D79" i="26"/>
  <c r="F77" i="26"/>
  <c r="G77" i="26" s="1"/>
  <c r="E77" i="26"/>
  <c r="D77" i="26"/>
  <c r="F74" i="26"/>
  <c r="E71" i="26"/>
  <c r="D71" i="26"/>
  <c r="E68" i="26"/>
  <c r="D68" i="26"/>
  <c r="F54" i="26"/>
  <c r="F42" i="26"/>
  <c r="D10" i="26"/>
  <c r="E10" i="26"/>
  <c r="F33" i="26"/>
  <c r="G33" i="26" s="1"/>
  <c r="F27" i="26"/>
  <c r="E33" i="26"/>
  <c r="D33" i="26"/>
  <c r="E27" i="26"/>
  <c r="D27" i="26"/>
  <c r="F25" i="26"/>
  <c r="D18" i="26"/>
  <c r="F18" i="26"/>
  <c r="F10" i="26"/>
  <c r="G10" i="26" s="1"/>
  <c r="F323" i="26" l="1"/>
  <c r="G323" i="26" s="1"/>
  <c r="G324" i="26"/>
  <c r="F71" i="26"/>
  <c r="G74" i="26"/>
  <c r="F92" i="26"/>
  <c r="G92" i="26" s="1"/>
  <c r="G93" i="26"/>
  <c r="F134" i="26"/>
  <c r="G135" i="26"/>
  <c r="G162" i="26"/>
  <c r="H162" i="26"/>
  <c r="D361" i="26"/>
  <c r="H18" i="26"/>
  <c r="G18" i="26"/>
  <c r="G150" i="26"/>
  <c r="H150" i="26"/>
  <c r="G25" i="26"/>
  <c r="H25" i="26"/>
  <c r="G68" i="26"/>
  <c r="G88" i="26"/>
  <c r="G119" i="26"/>
  <c r="F118" i="26"/>
  <c r="G118" i="26" s="1"/>
  <c r="G145" i="26"/>
  <c r="H145" i="26"/>
  <c r="G149" i="26"/>
  <c r="H149" i="26"/>
  <c r="G164" i="26"/>
  <c r="H164" i="26"/>
  <c r="F48" i="26"/>
  <c r="G48" i="26" s="1"/>
  <c r="G54" i="26"/>
  <c r="F185" i="26"/>
  <c r="G185" i="26" s="1"/>
  <c r="G187" i="26"/>
  <c r="G27" i="26"/>
  <c r="F38" i="26"/>
  <c r="G38" i="26" s="1"/>
  <c r="G42" i="26"/>
  <c r="G123" i="26"/>
  <c r="G156" i="26"/>
  <c r="F182" i="26"/>
  <c r="G183" i="26"/>
  <c r="H193" i="26"/>
  <c r="G193" i="26"/>
  <c r="F366" i="26"/>
  <c r="F371" i="26"/>
  <c r="F100" i="26"/>
  <c r="G100" i="26" s="1"/>
  <c r="E87" i="26"/>
  <c r="F225" i="26"/>
  <c r="D87" i="26"/>
  <c r="E155" i="26"/>
  <c r="E294" i="26"/>
  <c r="F306" i="26"/>
  <c r="F305" i="26" s="1"/>
  <c r="F303" i="26" s="1"/>
  <c r="G303" i="26" s="1"/>
  <c r="F337" i="26"/>
  <c r="F335" i="26" s="1"/>
  <c r="D225" i="26"/>
  <c r="E337" i="26"/>
  <c r="E358" i="26"/>
  <c r="D366" i="26"/>
  <c r="F213" i="26"/>
  <c r="D337" i="26"/>
  <c r="E366" i="26"/>
  <c r="D114" i="22"/>
  <c r="F127" i="22"/>
  <c r="F92" i="22"/>
  <c r="E6" i="22"/>
  <c r="D84" i="22"/>
  <c r="H8" i="22"/>
  <c r="G8" i="22"/>
  <c r="G15" i="22"/>
  <c r="H15" i="22"/>
  <c r="E84" i="22"/>
  <c r="H19" i="22"/>
  <c r="G19" i="22"/>
  <c r="H9" i="22"/>
  <c r="G9" i="22"/>
  <c r="G17" i="22"/>
  <c r="H17" i="22"/>
  <c r="E92" i="22"/>
  <c r="E114" i="22"/>
  <c r="D24" i="26"/>
  <c r="D30" i="26"/>
  <c r="D67" i="26"/>
  <c r="E305" i="26"/>
  <c r="E303" i="26" s="1"/>
  <c r="E24" i="26"/>
  <c r="E30" i="26"/>
  <c r="F30" i="26"/>
  <c r="E67" i="26"/>
  <c r="F192" i="26"/>
  <c r="E264" i="26"/>
  <c r="E9" i="26"/>
  <c r="D140" i="26"/>
  <c r="E192" i="26"/>
  <c r="D358" i="26"/>
  <c r="F141" i="26"/>
  <c r="D156" i="26"/>
  <c r="D155" i="26" s="1"/>
  <c r="D170" i="26"/>
  <c r="D247" i="26"/>
  <c r="E279" i="26"/>
  <c r="D279" i="26"/>
  <c r="D294" i="26"/>
  <c r="D92" i="22"/>
  <c r="F7" i="22"/>
  <c r="F12" i="22"/>
  <c r="F31" i="22"/>
  <c r="F48" i="22"/>
  <c r="E140" i="26"/>
  <c r="D192" i="26"/>
  <c r="F279" i="26"/>
  <c r="D324" i="26"/>
  <c r="D323" i="26" s="1"/>
  <c r="F170" i="26"/>
  <c r="E225" i="26"/>
  <c r="D373" i="26"/>
  <c r="D371" i="26" s="1"/>
  <c r="F294" i="26"/>
  <c r="E213" i="26"/>
  <c r="E241" i="26"/>
  <c r="D242" i="26"/>
  <c r="D264" i="26"/>
  <c r="F264" i="26"/>
  <c r="D213" i="26"/>
  <c r="F155" i="26"/>
  <c r="G155" i="26" s="1"/>
  <c r="D101" i="26"/>
  <c r="E118" i="26"/>
  <c r="F87" i="26"/>
  <c r="G87" i="26" s="1"/>
  <c r="D106" i="26"/>
  <c r="F67" i="26"/>
  <c r="D37" i="26"/>
  <c r="E37" i="26"/>
  <c r="D76" i="26"/>
  <c r="F76" i="26"/>
  <c r="G76" i="26" s="1"/>
  <c r="E76" i="26"/>
  <c r="F9" i="26"/>
  <c r="D9" i="26"/>
  <c r="F24" i="26"/>
  <c r="F37" i="26" l="1"/>
  <c r="H192" i="26"/>
  <c r="G192" i="26"/>
  <c r="H30" i="26"/>
  <c r="G30" i="26"/>
  <c r="H24" i="26"/>
  <c r="H67" i="26"/>
  <c r="G67" i="26"/>
  <c r="F140" i="26"/>
  <c r="G140" i="26" s="1"/>
  <c r="H141" i="26"/>
  <c r="G141" i="26"/>
  <c r="F180" i="26"/>
  <c r="G180" i="26" s="1"/>
  <c r="G182" i="26"/>
  <c r="F132" i="26"/>
  <c r="G132" i="26" s="1"/>
  <c r="G134" i="26"/>
  <c r="G71" i="26"/>
  <c r="H71" i="26"/>
  <c r="E85" i="26"/>
  <c r="F190" i="26"/>
  <c r="D241" i="26"/>
  <c r="D239" i="26" s="1"/>
  <c r="F138" i="26"/>
  <c r="E239" i="26"/>
  <c r="D138" i="26"/>
  <c r="D335" i="26"/>
  <c r="E335" i="26"/>
  <c r="E7" i="26"/>
  <c r="D190" i="26"/>
  <c r="D7" i="26"/>
  <c r="H7" i="22"/>
  <c r="G7" i="22"/>
  <c r="F6" i="22"/>
  <c r="E190" i="26"/>
  <c r="D100" i="26"/>
  <c r="F35" i="26"/>
  <c r="E35" i="26"/>
  <c r="D35" i="26"/>
  <c r="F7" i="26"/>
  <c r="H190" i="26" l="1"/>
  <c r="G190" i="26"/>
  <c r="G6" i="22"/>
  <c r="H6" i="22"/>
  <c r="C119" i="14"/>
  <c r="C93" i="14"/>
  <c r="C91" i="14"/>
  <c r="C71" i="14"/>
  <c r="C64" i="14"/>
  <c r="C9" i="14"/>
  <c r="C68" i="14" l="1"/>
  <c r="H122" i="14"/>
  <c r="G122" i="14"/>
  <c r="G156" i="24" l="1"/>
  <c r="F6" i="24"/>
  <c r="F69" i="24"/>
  <c r="F149" i="24"/>
  <c r="F152" i="24"/>
  <c r="F153" i="24"/>
  <c r="F154" i="24"/>
  <c r="F155" i="24"/>
  <c r="G13" i="23"/>
  <c r="G16" i="23"/>
  <c r="G17" i="23"/>
  <c r="G25" i="23"/>
  <c r="G32" i="23"/>
  <c r="G127" i="23"/>
  <c r="F12" i="23"/>
  <c r="F13" i="23"/>
  <c r="F16" i="23"/>
  <c r="F17" i="23"/>
  <c r="F23" i="23"/>
  <c r="F25" i="23"/>
  <c r="F28" i="23"/>
  <c r="F32" i="23"/>
  <c r="F85" i="26"/>
  <c r="D85" i="26"/>
  <c r="D6" i="26" s="1"/>
  <c r="G35" i="26"/>
  <c r="H9" i="26"/>
  <c r="H100" i="26"/>
  <c r="H118" i="26"/>
  <c r="H140" i="26"/>
  <c r="H155" i="26"/>
  <c r="H179" i="26"/>
  <c r="G9" i="26"/>
  <c r="G24" i="26"/>
  <c r="G34" i="26"/>
  <c r="G37" i="26"/>
  <c r="H12" i="22"/>
  <c r="G12" i="22"/>
  <c r="H26" i="22"/>
  <c r="G26" i="22"/>
  <c r="H31" i="22"/>
  <c r="H84" i="22"/>
  <c r="H114" i="22"/>
  <c r="H127" i="22"/>
  <c r="G11" i="22"/>
  <c r="G28" i="22"/>
  <c r="G31" i="22"/>
  <c r="F6" i="26" l="1"/>
  <c r="G85" i="26"/>
  <c r="H35" i="26"/>
  <c r="H85" i="26"/>
  <c r="U7" i="9"/>
  <c r="H7" i="26"/>
  <c r="G7" i="26"/>
  <c r="T7" i="9"/>
  <c r="F5" i="24"/>
  <c r="H46" i="14" l="1"/>
  <c r="H47" i="14"/>
  <c r="H48" i="14"/>
  <c r="H49" i="14"/>
  <c r="H138" i="14"/>
  <c r="H139" i="14"/>
  <c r="H140" i="14"/>
  <c r="H142" i="14"/>
  <c r="H143" i="14"/>
  <c r="H144" i="14"/>
  <c r="H145" i="14"/>
  <c r="H146" i="14"/>
  <c r="H147" i="14"/>
  <c r="H148" i="14"/>
  <c r="G138" i="14"/>
  <c r="G139" i="14"/>
  <c r="G140" i="14"/>
  <c r="G142" i="14"/>
  <c r="G143" i="14"/>
  <c r="G144" i="14"/>
  <c r="G145" i="14"/>
  <c r="G146" i="14"/>
  <c r="G147" i="14"/>
  <c r="G148" i="14"/>
  <c r="E141" i="14"/>
  <c r="F141" i="14"/>
  <c r="E137" i="14"/>
  <c r="F137" i="14"/>
  <c r="H129" i="14"/>
  <c r="H130" i="14"/>
  <c r="H131" i="14"/>
  <c r="H133" i="14"/>
  <c r="H134" i="14"/>
  <c r="H135" i="14"/>
  <c r="G129" i="14"/>
  <c r="G130" i="14"/>
  <c r="G131" i="14"/>
  <c r="G133" i="14"/>
  <c r="G134" i="14"/>
  <c r="G135" i="14"/>
  <c r="H120" i="14"/>
  <c r="H121" i="14"/>
  <c r="H123" i="14"/>
  <c r="H124" i="14"/>
  <c r="H125" i="14"/>
  <c r="H126" i="14"/>
  <c r="G120" i="14"/>
  <c r="G121" i="14"/>
  <c r="G123" i="14"/>
  <c r="G124" i="14"/>
  <c r="G126" i="14"/>
  <c r="H72" i="14"/>
  <c r="H73" i="14"/>
  <c r="H74" i="14"/>
  <c r="H75" i="14"/>
  <c r="H77" i="14"/>
  <c r="H78" i="14"/>
  <c r="H80" i="14"/>
  <c r="H81" i="14"/>
  <c r="H82" i="14"/>
  <c r="H83" i="14"/>
  <c r="H84" i="14"/>
  <c r="H85" i="14"/>
  <c r="H86" i="14"/>
  <c r="H87" i="14"/>
  <c r="H88" i="14"/>
  <c r="H92" i="14"/>
  <c r="H95" i="14"/>
  <c r="H96" i="14"/>
  <c r="H97" i="14"/>
  <c r="H98" i="14"/>
  <c r="H99" i="14"/>
  <c r="H100" i="14"/>
  <c r="H101" i="14"/>
  <c r="H105" i="14"/>
  <c r="H106" i="14"/>
  <c r="H107" i="14"/>
  <c r="H108" i="14"/>
  <c r="H110" i="14"/>
  <c r="H111" i="14"/>
  <c r="H112" i="14"/>
  <c r="H113" i="14"/>
  <c r="G72" i="14"/>
  <c r="G73" i="14"/>
  <c r="G74" i="14"/>
  <c r="G75" i="14"/>
  <c r="G77" i="14"/>
  <c r="G78" i="14"/>
  <c r="G80" i="14"/>
  <c r="G81" i="14"/>
  <c r="G82" i="14"/>
  <c r="G83" i="14"/>
  <c r="G84" i="14"/>
  <c r="G85" i="14"/>
  <c r="G86" i="14"/>
  <c r="G87" i="14"/>
  <c r="G88" i="14"/>
  <c r="G92" i="14"/>
  <c r="G95" i="14"/>
  <c r="G96" i="14"/>
  <c r="G97" i="14"/>
  <c r="G98" i="14"/>
  <c r="G99" i="14"/>
  <c r="G100" i="14"/>
  <c r="G101" i="14"/>
  <c r="G105" i="14"/>
  <c r="G106" i="14"/>
  <c r="G107" i="14"/>
  <c r="G108" i="14"/>
  <c r="G110" i="14"/>
  <c r="G111" i="14"/>
  <c r="G112" i="14"/>
  <c r="G113" i="14"/>
  <c r="H53" i="14"/>
  <c r="H54" i="14"/>
  <c r="H55" i="14"/>
  <c r="H56" i="14"/>
  <c r="H58" i="14"/>
  <c r="H59" i="14"/>
  <c r="H60" i="14"/>
  <c r="H61" i="14"/>
  <c r="H62" i="14"/>
  <c r="H63" i="14"/>
  <c r="H65" i="14"/>
  <c r="H66" i="14"/>
  <c r="H67" i="14"/>
  <c r="H10" i="14"/>
  <c r="H11" i="14"/>
  <c r="H12" i="14"/>
  <c r="H13" i="14"/>
  <c r="H14" i="14"/>
  <c r="H17" i="14"/>
  <c r="H18" i="14"/>
  <c r="H19" i="14"/>
  <c r="H20" i="14"/>
  <c r="H21" i="14"/>
  <c r="H23" i="14"/>
  <c r="H24" i="14"/>
  <c r="H26" i="14"/>
  <c r="H27" i="14"/>
  <c r="H28" i="14"/>
  <c r="H29" i="14"/>
  <c r="H30" i="14"/>
  <c r="H33" i="14"/>
  <c r="H34" i="14"/>
  <c r="H35" i="14"/>
  <c r="H37" i="14"/>
  <c r="H38" i="14"/>
  <c r="H40" i="14"/>
  <c r="H41" i="14"/>
  <c r="H151" i="14" l="1"/>
  <c r="H141" i="14"/>
  <c r="G152" i="14"/>
  <c r="G141" i="14"/>
  <c r="G151" i="14"/>
  <c r="H152" i="14"/>
  <c r="H150" i="14"/>
  <c r="H149" i="14"/>
  <c r="G149" i="14"/>
  <c r="G150" i="14"/>
  <c r="G137" i="14"/>
  <c r="H137" i="14"/>
  <c r="H8" i="14"/>
  <c r="G18" i="14"/>
  <c r="G19" i="14"/>
  <c r="G20" i="14"/>
  <c r="G21" i="14"/>
  <c r="G11" i="14"/>
  <c r="G12" i="14"/>
  <c r="G14" i="14"/>
  <c r="G23" i="14"/>
  <c r="G24" i="14"/>
  <c r="G26" i="14"/>
  <c r="G27" i="14"/>
  <c r="G29" i="14"/>
  <c r="G30" i="14"/>
  <c r="G32" i="14"/>
  <c r="G33" i="14"/>
  <c r="G34" i="14"/>
  <c r="G35" i="14"/>
  <c r="G37" i="14"/>
  <c r="G38" i="14"/>
  <c r="G40" i="14"/>
  <c r="G41" i="14"/>
  <c r="G8" i="14"/>
  <c r="D109" i="14" l="1"/>
  <c r="E109" i="14"/>
  <c r="F109" i="14"/>
  <c r="C109" i="14"/>
  <c r="D104" i="14"/>
  <c r="D114" i="14" s="1"/>
  <c r="E104" i="14"/>
  <c r="E114" i="14" s="1"/>
  <c r="F104" i="14"/>
  <c r="C104" i="14"/>
  <c r="C114" i="14" s="1"/>
  <c r="D93" i="14"/>
  <c r="E93" i="14"/>
  <c r="F94" i="14"/>
  <c r="D91" i="14"/>
  <c r="D102" i="14" s="1"/>
  <c r="E91" i="14"/>
  <c r="F91" i="14"/>
  <c r="D71" i="14"/>
  <c r="E71" i="14"/>
  <c r="F71" i="14"/>
  <c r="D76" i="14"/>
  <c r="E76" i="14"/>
  <c r="D119" i="14"/>
  <c r="E119" i="14"/>
  <c r="F119" i="14"/>
  <c r="D89" i="14" l="1"/>
  <c r="E89" i="14"/>
  <c r="D115" i="14"/>
  <c r="D117" i="14" s="1"/>
  <c r="C76" i="14"/>
  <c r="C89" i="14" s="1"/>
  <c r="C102" i="14"/>
  <c r="G119" i="14"/>
  <c r="H119" i="14"/>
  <c r="F76" i="14"/>
  <c r="F89" i="14" s="1"/>
  <c r="H79" i="14"/>
  <c r="G79" i="14"/>
  <c r="H71" i="14"/>
  <c r="G71" i="14"/>
  <c r="G91" i="14"/>
  <c r="H91" i="14"/>
  <c r="F93" i="14"/>
  <c r="F102" i="14" s="1"/>
  <c r="G94" i="14"/>
  <c r="H94" i="14"/>
  <c r="G104" i="14"/>
  <c r="H104" i="14"/>
  <c r="H109" i="14"/>
  <c r="G109" i="14"/>
  <c r="F114" i="14"/>
  <c r="E102" i="14"/>
  <c r="D57" i="14"/>
  <c r="D145" i="14"/>
  <c r="C145" i="14"/>
  <c r="D141" i="14"/>
  <c r="C141" i="14"/>
  <c r="D137" i="14"/>
  <c r="C137" i="14"/>
  <c r="D132" i="14"/>
  <c r="E132" i="14"/>
  <c r="F132" i="14"/>
  <c r="C132" i="14"/>
  <c r="D128" i="14"/>
  <c r="E128" i="14"/>
  <c r="F128" i="14"/>
  <c r="C128" i="14"/>
  <c r="D64" i="14"/>
  <c r="E64" i="14"/>
  <c r="F64" i="14"/>
  <c r="E57" i="14"/>
  <c r="F57" i="14"/>
  <c r="E52" i="14"/>
  <c r="C25" i="14"/>
  <c r="E25" i="14"/>
  <c r="F25" i="14"/>
  <c r="D22" i="14"/>
  <c r="D42" i="14" s="1"/>
  <c r="E22" i="14"/>
  <c r="E42" i="14" s="1"/>
  <c r="F22" i="14"/>
  <c r="C22" i="14"/>
  <c r="C42" i="14" s="1"/>
  <c r="E115" i="14" l="1"/>
  <c r="E117" i="14" s="1"/>
  <c r="C115" i="14"/>
  <c r="C117" i="14" s="1"/>
  <c r="H25" i="14"/>
  <c r="H22" i="14"/>
  <c r="F42" i="14"/>
  <c r="H64" i="14"/>
  <c r="H128" i="14"/>
  <c r="G128" i="14"/>
  <c r="H132" i="14"/>
  <c r="G132" i="14"/>
  <c r="H114" i="14"/>
  <c r="G114" i="14"/>
  <c r="H76" i="14"/>
  <c r="G76" i="14"/>
  <c r="H57" i="14"/>
  <c r="G89" i="14"/>
  <c r="H93" i="14"/>
  <c r="G93" i="14"/>
  <c r="H52" i="14"/>
  <c r="G102" i="14"/>
  <c r="H102" i="14"/>
  <c r="H50" i="14"/>
  <c r="G22" i="14"/>
  <c r="G25" i="14"/>
  <c r="E68" i="14"/>
  <c r="D68" i="14"/>
  <c r="F68" i="14"/>
  <c r="D25" i="14"/>
  <c r="D43" i="14" s="1"/>
  <c r="D16" i="14"/>
  <c r="E16" i="14"/>
  <c r="F16" i="14"/>
  <c r="F31" i="14" s="1"/>
  <c r="C16" i="14"/>
  <c r="C31" i="14" s="1"/>
  <c r="C36" i="14" s="1"/>
  <c r="C39" i="14" s="1"/>
  <c r="E9" i="14"/>
  <c r="E15" i="14" s="1"/>
  <c r="F9" i="14"/>
  <c r="C43" i="14"/>
  <c r="E43" i="14" l="1"/>
  <c r="G42" i="14"/>
  <c r="H42" i="14"/>
  <c r="H9" i="14"/>
  <c r="F43" i="14"/>
  <c r="H16" i="14"/>
  <c r="H68" i="14"/>
  <c r="F117" i="14"/>
  <c r="G9" i="14"/>
  <c r="G16" i="14"/>
  <c r="G15" i="14" l="1"/>
  <c r="E31" i="14"/>
  <c r="E36" i="14" s="1"/>
  <c r="H15" i="14"/>
  <c r="H31" i="14"/>
  <c r="G43" i="14"/>
  <c r="H43" i="14"/>
  <c r="F36" i="14"/>
  <c r="G31" i="14"/>
  <c r="H36" i="14" l="1"/>
  <c r="F39" i="14"/>
  <c r="G36" i="14"/>
  <c r="E39" i="14"/>
  <c r="H39" i="14" l="1"/>
  <c r="G39" i="14"/>
  <c r="D31" i="14"/>
  <c r="D36" i="14" l="1"/>
  <c r="D39" i="14" s="1"/>
  <c r="G8" i="23"/>
  <c r="F8" i="23"/>
  <c r="E178" i="26" l="1"/>
  <c r="E170" i="26" l="1"/>
  <c r="E138" i="26" s="1"/>
  <c r="E6" i="26"/>
  <c r="G138" i="26"/>
  <c r="H138" i="26"/>
  <c r="G170" i="26"/>
  <c r="H170" i="26"/>
  <c r="G6" i="26" l="1"/>
  <c r="H6" i="26"/>
  <c r="E240" i="26"/>
  <c r="E295" i="26"/>
</calcChain>
</file>

<file path=xl/sharedStrings.xml><?xml version="1.0" encoding="utf-8"?>
<sst xmlns="http://schemas.openxmlformats.org/spreadsheetml/2006/main" count="1298" uniqueCount="679">
  <si>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</si>
  <si>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</si>
  <si>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</si>
  <si>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</si>
  <si>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</si>
  <si>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</si>
  <si>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</si>
  <si>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</si>
  <si>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</si>
  <si>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№ з/п</t>
  </si>
  <si>
    <t>Залучення кредитних коштів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</si>
  <si>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</si>
  <si>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</si>
  <si>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</si>
  <si>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</si>
  <si>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</si>
  <si>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</si>
  <si>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інші платежі (розшифрувати)</t>
  </si>
  <si>
    <t>Фінансовий результат до оподаткування</t>
  </si>
  <si>
    <t xml:space="preserve">         (ініціали, прізвище)    </t>
  </si>
  <si>
    <t>_____________________________</t>
  </si>
  <si>
    <t>(ініціали, прізвище)</t>
  </si>
  <si>
    <t>І. Рух коштів у результаті операційної діяльності</t>
  </si>
  <si>
    <t>II. Рух коштів у результаті інвестиційної діяльності</t>
  </si>
  <si>
    <t>Чистий рух коштів від інвестиційної діяльності </t>
  </si>
  <si>
    <t>III. Рух коштів у результаті фінансової діяльності</t>
  </si>
  <si>
    <t>Чистий рух коштів від фінансової діяльності </t>
  </si>
  <si>
    <t>Основні фінансові показники</t>
  </si>
  <si>
    <t>Капітальні інвестиції</t>
  </si>
  <si>
    <t>Елементи операційних витрат</t>
  </si>
  <si>
    <t>Найменування об’єкта</t>
  </si>
  <si>
    <t>____________________________________________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</si>
  <si>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</si>
  <si>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</si>
  <si>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</si>
  <si>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</si>
  <si>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</si>
  <si>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</si>
  <si>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</si>
  <si>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</si>
  <si>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</si>
  <si>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Чистий рух коштів від операційної діяльності</t>
  </si>
  <si>
    <t>7000</t>
  </si>
  <si>
    <t>7001</t>
  </si>
  <si>
    <t>7002</t>
  </si>
  <si>
    <t>7003</t>
  </si>
  <si>
    <t>7010</t>
  </si>
  <si>
    <t>7011</t>
  </si>
  <si>
    <t>7012</t>
  </si>
  <si>
    <t>7013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</si>
  <si>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</si>
  <si>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</si>
  <si>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</si>
  <si>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</si>
  <si>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</si>
  <si>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</si>
  <si>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</si>
  <si>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</si>
  <si>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Інші витрати, усього, у тому числі:</t>
  </si>
  <si>
    <t xml:space="preserve">Надходження грошових коштів від операційної діяльності 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</si>
  <si>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</si>
  <si>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</si>
  <si>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</si>
  <si>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</si>
  <si>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прибуток підприємств</t>
  </si>
  <si>
    <t>податок на додану вартість</t>
  </si>
  <si>
    <t xml:space="preserve">Надходження грошових коштів від інвестиційної діяльності </t>
  </si>
  <si>
    <t xml:space="preserve">Видатки грошових коштів від інвестиційної діяльності </t>
  </si>
  <si>
    <t xml:space="preserve">Надходження грошових коштів від фінансової діяльності </t>
  </si>
  <si>
    <t>Надходження від власного капіталу</t>
  </si>
  <si>
    <t xml:space="preserve">Видатки грошових коштів від фінансової діяльності </t>
  </si>
  <si>
    <t>Отримано залучених коштів, усього, у тому числі:</t>
  </si>
  <si>
    <t>Повернено залучених коштів, усього, у тому числі: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</si>
  <si>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</si>
  <si>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</si>
  <si>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</si>
  <si>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</si>
  <si>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</si>
  <si>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</si>
  <si>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</si>
  <si>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</si>
  <si>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</si>
  <si>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</si>
  <si>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</si>
  <si>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Виручка від реалізації продукції (товарів, робіт, послуг)</t>
  </si>
  <si>
    <t>Цільове фінансування 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</si>
  <si>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</si>
  <si>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</si>
  <si>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</si>
  <si>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</si>
  <si>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Директор КП</t>
  </si>
  <si>
    <t>Усього нараховано виплат</t>
  </si>
  <si>
    <t>Матеріальні витрати</t>
  </si>
  <si>
    <t>(тис. грн)</t>
  </si>
  <si>
    <t xml:space="preserve">Нраховані до сплати податки та збори до Державного бюджету України (податкові платежі) 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</si>
  <si>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</si>
  <si>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</si>
  <si>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</si>
  <si>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</si>
  <si>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 xml:space="preserve">єдиний внесок на загальнообов'язкове державне соціальне страхування    </t>
  </si>
  <si>
    <t>Надходження від відсотків за залишками коштів на поточних рахунках</t>
  </si>
  <si>
    <t>Витрачання на придбання необоротних активів, у тому числі: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</si>
  <si>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</si>
  <si>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</si>
  <si>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</si>
  <si>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</si>
  <si>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</si>
  <si>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</si>
  <si>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Залишок коштів на початок року</t>
  </si>
  <si>
    <t>Залишок коштів на кінець року</t>
  </si>
  <si>
    <t>тис. грн</t>
  </si>
  <si>
    <t xml:space="preserve">                   (підпис)</t>
  </si>
  <si>
    <t>Надходження грошових коштів від операційної діяльності</t>
  </si>
  <si>
    <t>Цільове фінансуванн, усього, у тому числі:</t>
  </si>
  <si>
    <t>Інші надходження, усього, у тому числі:</t>
  </si>
  <si>
    <t xml:space="preserve">модернізація, модифікація (добудова, дообладнання, реконструкція) основних засобів, усього, у тому числі: </t>
  </si>
  <si>
    <t xml:space="preserve">капітальний ремонт, усього, у тому числі: 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</si>
  <si>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</si>
  <si>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</si>
  <si>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</si>
  <si>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</si>
  <si>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</si>
  <si>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довгострокові зобов'язання (розшифрувати)</t>
  </si>
  <si>
    <t>короткострокові зобов'язання (розшифрувати)</t>
  </si>
  <si>
    <t>інші фінансові зобов'язання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</si>
  <si>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</si>
  <si>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</si>
  <si>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</si>
  <si>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</si>
  <si>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</si>
  <si>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</si>
  <si>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</si>
  <si>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</si>
  <si>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</si>
  <si>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</si>
  <si>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</si>
  <si>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</si>
  <si>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Директор КНП</t>
  </si>
  <si>
    <t>Директор НКП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</si>
  <si>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</si>
  <si>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</si>
  <si>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</si>
  <si>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</si>
  <si>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</si>
  <si>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</si>
  <si>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</si>
  <si>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</si>
  <si>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</si>
  <si>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</si>
  <si>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</si>
  <si>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2.1</t>
  </si>
  <si>
    <t>2.2</t>
  </si>
  <si>
    <t>2.3</t>
  </si>
  <si>
    <t>______________________</t>
  </si>
  <si>
    <t>Придбання (виготовлення) основних засобів, усього, у т.ч.:</t>
  </si>
  <si>
    <t>Інші витрати, усього, у т.ч.:</t>
  </si>
  <si>
    <t xml:space="preserve">Інші надходження (розшифрувати) </t>
  </si>
  <si>
    <t>придбання (виготовлення) інших необоротних матеріальних активів, усього, у тому числі:</t>
  </si>
  <si>
    <t>Розділ І. Формування фінансових результатів</t>
  </si>
  <si>
    <t>Розділ IІ. Розрахунки з бюджетом</t>
  </si>
  <si>
    <t>Розділ ІІІ. Рух грошових коштів</t>
  </si>
  <si>
    <t>Розділ IV. Капітальні інвестиції</t>
  </si>
  <si>
    <t>Розділ V. Кредитна політика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</si>
  <si>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</si>
  <si>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</si>
  <si>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ІІІ "Рух грошових коштів (за прямим методом)"</t>
  </si>
  <si>
    <t>Розшифровка до розділу  IV. "Капітальні інвестиції"</t>
  </si>
  <si>
    <t>3.</t>
  </si>
  <si>
    <t>3.1</t>
  </si>
  <si>
    <t>3.2</t>
  </si>
  <si>
    <t>3.3</t>
  </si>
  <si>
    <t>4.</t>
  </si>
  <si>
    <t>4.1</t>
  </si>
  <si>
    <t>5.</t>
  </si>
  <si>
    <t xml:space="preserve">6. </t>
  </si>
  <si>
    <t>6.1</t>
  </si>
  <si>
    <t>Матеріальні витрати, усього, у т.ч.:</t>
  </si>
  <si>
    <t>Витрачання на погашення позик/кредитів/облігацій/векселів</t>
  </si>
  <si>
    <t>Надходження від відсотків за залишками коштів на депозитних рахунках</t>
  </si>
  <si>
    <t>5.1</t>
  </si>
  <si>
    <t>5.2</t>
  </si>
  <si>
    <t>5.3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</si>
  <si>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</si>
  <si>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</si>
  <si>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</si>
  <si>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</si>
  <si>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</si>
  <si>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</si>
  <si>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</si>
  <si>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
%</t>
  </si>
  <si>
    <t>Відхилення, +,-</t>
  </si>
  <si>
    <t>Відхилення, %</t>
  </si>
  <si>
    <t>Розшифровка до розділу  IV. "Капітальні інвестиції" за джерелами надходження</t>
  </si>
  <si>
    <t>придбання (виготовлення) основних засобів,  усього, у тому числі:</t>
  </si>
  <si>
    <t>Усього доходів</t>
  </si>
  <si>
    <t>Усього видатків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</si>
  <si>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ОТГ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</si>
  <si>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</si>
  <si>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</si>
  <si>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</si>
  <si>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</si>
  <si>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</si>
  <si>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</si>
  <si>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</si>
  <si>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</si>
  <si>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</si>
  <si>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надходження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</si>
  <si>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</si>
  <si>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</si>
  <si>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</si>
  <si>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r>
      <t>Директор НКП</t>
    </r>
    <r>
      <rPr>
        <u/>
        <sz val="16"/>
        <color theme="1"/>
        <rFont val="Times New Roman"/>
        <family val="1"/>
        <charset val="204"/>
      </rPr>
      <t xml:space="preserve"> </t>
    </r>
  </si>
  <si>
    <t>1.1.1</t>
  </si>
  <si>
    <t xml:space="preserve">медикаменти та перев'язувальні матеріали </t>
  </si>
  <si>
    <t>харчування</t>
  </si>
  <si>
    <t>витрати на сировину для молочної кухні</t>
  </si>
  <si>
    <t>паливно-мастильні метеріали, запчастини (авто)</t>
  </si>
  <si>
    <t>медичне обладнання</t>
  </si>
  <si>
    <t>1.1.2</t>
  </si>
  <si>
    <t>1.1.3</t>
  </si>
  <si>
    <t>1.1.4</t>
  </si>
  <si>
    <t>1.1.5</t>
  </si>
  <si>
    <t>наркопрофогляд, медогляд</t>
  </si>
  <si>
    <t>гістологічні дослідження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</si>
  <si>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</si>
  <si>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</si>
  <si>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</si>
  <si>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</si>
  <si>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</si>
  <si>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</si>
  <si>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</si>
  <si>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</si>
  <si>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</si>
  <si>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>супровід програмного забезпечення, медіа-супровід, обслуговування сайту, кваліфікований електронний підпис</t>
  </si>
  <si>
    <t xml:space="preserve">охоронна сигналізація </t>
  </si>
  <si>
    <t>1.3.2</t>
  </si>
  <si>
    <t>1.3.3</t>
  </si>
  <si>
    <t>1.3.5</t>
  </si>
  <si>
    <t>пільгова пенсія</t>
  </si>
  <si>
    <t>2.1.1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</si>
  <si>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</si>
  <si>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</si>
  <si>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 xml:space="preserve">запчастини до медичного обладнання, основних засобів, інших необороних матеріальних активів та  та інші необороні матеріальні активи </t>
  </si>
  <si>
    <t>меблі</t>
  </si>
  <si>
    <t>проїзні</t>
  </si>
  <si>
    <t>2.1.2</t>
  </si>
  <si>
    <t>2.1.3</t>
  </si>
  <si>
    <t>2.1.4</t>
  </si>
  <si>
    <t>2.1.5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</si>
  <si>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</si>
  <si>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</si>
  <si>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</si>
  <si>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</si>
  <si>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</si>
  <si>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>страхування працівників</t>
  </si>
  <si>
    <t>страхування майна</t>
  </si>
  <si>
    <t>оцінка майна</t>
  </si>
  <si>
    <t>утилізація, дезенфекція</t>
  </si>
  <si>
    <t>консультаційно-інформаційні послуги</t>
  </si>
  <si>
    <t>публікація в газеті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</si>
  <si>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</si>
  <si>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</si>
  <si>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</si>
  <si>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</si>
  <si>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</si>
  <si>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</si>
  <si>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2.2.1</t>
  </si>
  <si>
    <t>проїзні квитки</t>
  </si>
  <si>
    <t>2.2.5</t>
  </si>
  <si>
    <t>Інші  адміністративні витрати, усього, у тому числі:</t>
  </si>
  <si>
    <t>проведення наглядового аудиту сертифікації управління якістю</t>
  </si>
  <si>
    <t>ремонт приміщень/прибудинкова</t>
  </si>
  <si>
    <t>ремонт та повірка медобладнання, побутової техніки, вимірювання опору заземлення, утилізація, вимірювання дози зовнішнього опромінення</t>
  </si>
  <si>
    <t>2.3.1</t>
  </si>
  <si>
    <t>2.3.5</t>
  </si>
  <si>
    <t>наркопрофогляд, медогляд, бакобстеження, ВІЛ, гістологічні дослідження</t>
  </si>
  <si>
    <t>ліцензія</t>
  </si>
  <si>
    <t>пеня</t>
  </si>
  <si>
    <t xml:space="preserve">Кошти від надання послуг з медичної діяльності </t>
  </si>
  <si>
    <t xml:space="preserve">Кошти від реалізаціі продукції молочної кухні </t>
  </si>
  <si>
    <t>3.1.1</t>
  </si>
  <si>
    <t>паливно-мастильні матеріали, запчастини (авто)</t>
  </si>
  <si>
    <t>основні засоби та інші необоротні матеріальні активи, запчастини до медичного обладнання, основних засобів та інших необоротних матеріальни активів</t>
  </si>
  <si>
    <t>3.1.5</t>
  </si>
  <si>
    <t>Інші витрати, у сього, у т.ч.:</t>
  </si>
  <si>
    <t>ремонт та технічне обслуговування немедичного обладнання</t>
  </si>
  <si>
    <t>ремонт та технічне обслуговування авто</t>
  </si>
  <si>
    <t>страхування цивільно-правової відповідальності власників транспортних засобів</t>
  </si>
  <si>
    <t>опата природного газу</t>
  </si>
  <si>
    <t>дослідження води</t>
  </si>
  <si>
    <t>3.2.1</t>
  </si>
  <si>
    <t>3.2.5</t>
  </si>
  <si>
    <t>страхування</t>
  </si>
  <si>
    <t>обслуговування персонального комп'ютера</t>
  </si>
  <si>
    <t>банківські послуги, система управління якістю</t>
  </si>
  <si>
    <t>захоронення медичних відходів</t>
  </si>
  <si>
    <t>3.3.1</t>
  </si>
  <si>
    <t>витратні матеріали для молочної кухні</t>
  </si>
  <si>
    <t>3.3.5</t>
  </si>
  <si>
    <t xml:space="preserve">наркопрофогляд, медогляд, бакобстеження </t>
  </si>
  <si>
    <t>технічне обслуговування немедичного обладнання</t>
  </si>
  <si>
    <t>оплата природного газу</t>
  </si>
  <si>
    <t>податки</t>
  </si>
  <si>
    <t>Кошти від надання послуг з немедичної діяльності (платні палати, стажування інтернів, відшкодування від страхування компанії)</t>
  </si>
  <si>
    <t>4.1.1</t>
  </si>
  <si>
    <t xml:space="preserve">Кошти медичної субвенції з державного бюджету </t>
  </si>
  <si>
    <t>5.1.1</t>
  </si>
  <si>
    <t>лікарняні листи, марки, конверти</t>
  </si>
  <si>
    <t>5.1.2</t>
  </si>
  <si>
    <t>5.1.3</t>
  </si>
  <si>
    <t>5.1.5</t>
  </si>
  <si>
    <t>ремонт та технічне обслуговування ліфтів</t>
  </si>
  <si>
    <t>5.2.1</t>
  </si>
  <si>
    <t>запчастини до медичного обладнання, основних засобів та інших необоротних матеріальни активів</t>
  </si>
  <si>
    <t>витратні матеріали для персонального комп'ютера</t>
  </si>
  <si>
    <t>5.2.2</t>
  </si>
  <si>
    <t>5.2.3</t>
  </si>
  <si>
    <t>5.2.5</t>
  </si>
  <si>
    <t>ремонт та обслуговування ліфтів</t>
  </si>
  <si>
    <t>5.3.1</t>
  </si>
  <si>
    <t>медикаменти та перев`язувальні матеріали</t>
  </si>
  <si>
    <t>5.3.2</t>
  </si>
  <si>
    <t>5.3.3</t>
  </si>
  <si>
    <t>5.3.5</t>
  </si>
  <si>
    <t>Кошти медичної субвенції з державного бюджету за рахунок залишків запасів минулих періодів</t>
  </si>
  <si>
    <t>6.1.1</t>
  </si>
  <si>
    <t>7.</t>
  </si>
  <si>
    <t>7.1</t>
  </si>
  <si>
    <t>7.1.2</t>
  </si>
  <si>
    <t>7.1.3</t>
  </si>
  <si>
    <t>8.</t>
  </si>
  <si>
    <t>Кошти бюджету ВМОТГ/кошти бюджету ВМТГ</t>
  </si>
  <si>
    <t>8.1</t>
  </si>
  <si>
    <t>8.1.1</t>
  </si>
  <si>
    <t>витратні матеріали для хворих, що знаходяться на лікуванні у відділенні анестезіології  2019-n CoV</t>
  </si>
  <si>
    <t>витратні матеріали для хворих на цукровий діабет</t>
  </si>
  <si>
    <t>медикаменти 2019-n CoV</t>
  </si>
  <si>
    <t>медикаменти та перв'язувальні матеріали</t>
  </si>
  <si>
    <t>програма "СТОП ГРИП"</t>
  </si>
  <si>
    <t>хімреактиви, реагенти тощо</t>
  </si>
  <si>
    <t>8.1.2</t>
  </si>
  <si>
    <t>8.1.3</t>
  </si>
  <si>
    <t>8.1.5</t>
  </si>
  <si>
    <t xml:space="preserve">інформатизація </t>
  </si>
  <si>
    <t>ремонт покрівлі</t>
  </si>
  <si>
    <t>транспортування працівників</t>
  </si>
  <si>
    <t xml:space="preserve">оплата електроенергії </t>
  </si>
  <si>
    <t>8.2</t>
  </si>
  <si>
    <t>8.2.1</t>
  </si>
  <si>
    <t>інформатизація (системні блоки, монітори, принтери)</t>
  </si>
  <si>
    <t>8.2.5</t>
  </si>
  <si>
    <t xml:space="preserve">вивіз  сміття </t>
  </si>
  <si>
    <t>витрати на інформатизацію</t>
  </si>
  <si>
    <t>8.3</t>
  </si>
  <si>
    <t>8.3.1</t>
  </si>
  <si>
    <t>псування матеріальних цінностей</t>
  </si>
  <si>
    <t>витратні матеріали для хворих, що знаходяться на лікуванні у відділенні анестезіології</t>
  </si>
  <si>
    <t>8.3.5</t>
  </si>
  <si>
    <t>9.</t>
  </si>
  <si>
    <t>9.1</t>
  </si>
  <si>
    <t>9.1.1</t>
  </si>
  <si>
    <t>основні засоби та інші необоротні матеріальні активи, запчастини до медичного обладнання, основних засобів та інших необоротних матеріальних активів</t>
  </si>
  <si>
    <t>9.1.5</t>
  </si>
  <si>
    <t>медичне транспортування</t>
  </si>
  <si>
    <t>оплата за вивіз сміття</t>
  </si>
  <si>
    <t>9.2</t>
  </si>
  <si>
    <t>9.2.1</t>
  </si>
  <si>
    <t>9.2.5</t>
  </si>
  <si>
    <t>податок на землю</t>
  </si>
  <si>
    <t>10.</t>
  </si>
  <si>
    <t>Кошти, отримані від реалізації в установленому порядку майна (крім нерухомого майна)</t>
  </si>
  <si>
    <t>10.2</t>
  </si>
  <si>
    <t>10.2.5</t>
  </si>
  <si>
    <t>11.</t>
  </si>
  <si>
    <t>11.1</t>
  </si>
  <si>
    <t>11.1.5</t>
  </si>
  <si>
    <t>11.2</t>
  </si>
  <si>
    <t>11.2.5</t>
  </si>
  <si>
    <t>12.</t>
  </si>
  <si>
    <t>12.1</t>
  </si>
  <si>
    <t>12.1.5</t>
  </si>
  <si>
    <t>ремонт та технічне обслуговування медичного обладнання</t>
  </si>
  <si>
    <t>12.2</t>
  </si>
  <si>
    <t>12.2.5</t>
  </si>
  <si>
    <t>банківські послуги</t>
  </si>
  <si>
    <t>13.</t>
  </si>
  <si>
    <t>Благодійна допомога в натуральній формі</t>
  </si>
  <si>
    <t>13.1</t>
  </si>
  <si>
    <t>13.1.1</t>
  </si>
  <si>
    <t>медикаменти та перев'язувальні матеріали</t>
  </si>
  <si>
    <t>медикаменти (страхова)</t>
  </si>
  <si>
    <t>лікарняні листи, марки, конверти, проїздні</t>
  </si>
  <si>
    <t>господарські товари, технічні засоби, енергозберігаючі лампочки,  будівельні матеріали, засоби для прибирання та гігієни</t>
  </si>
  <si>
    <t>інші необоротні матеріальні активи та запчастини до медичного обладнання, основних засобів та інших необоротних матеріальни активів</t>
  </si>
  <si>
    <t>13.1.5</t>
  </si>
  <si>
    <t>ремонт приміщень та інженерних мереж</t>
  </si>
  <si>
    <t>інформаційно-консультаційні послуги</t>
  </si>
  <si>
    <t>13.2</t>
  </si>
  <si>
    <t>13.2.5</t>
  </si>
  <si>
    <t>13.3</t>
  </si>
  <si>
    <t>13.3.1</t>
  </si>
  <si>
    <t>14.</t>
  </si>
  <si>
    <t xml:space="preserve">Благодійна допомога в натуральній формі за рахунок залишку минулих періодів </t>
  </si>
  <si>
    <t>14.1</t>
  </si>
  <si>
    <t>14.1.1</t>
  </si>
  <si>
    <t>15.</t>
  </si>
  <si>
    <t xml:space="preserve">Благодійна допомога в грошовому еквіваленті </t>
  </si>
  <si>
    <t>15.1</t>
  </si>
  <si>
    <t>15.1.1</t>
  </si>
  <si>
    <t>15.1.4</t>
  </si>
  <si>
    <t>15.1.5</t>
  </si>
  <si>
    <t>супровід програмного забезпечення, медіа-супровід, обслуговування сайту,кваліфікований електронний підпис</t>
  </si>
  <si>
    <t>виготовлення технічної документації</t>
  </si>
  <si>
    <t>15.2</t>
  </si>
  <si>
    <t>15.2.5</t>
  </si>
  <si>
    <t>ремонт прибудинкової території</t>
  </si>
  <si>
    <t>16.</t>
  </si>
  <si>
    <t>16.1</t>
  </si>
  <si>
    <t>16.1.5</t>
  </si>
  <si>
    <t>17.</t>
  </si>
  <si>
    <t>Дохід від курсової різниці на залишок коштів валютного рахунку</t>
  </si>
  <si>
    <t>17.2</t>
  </si>
  <si>
    <t>17.2.5</t>
  </si>
  <si>
    <t>курсова різниця</t>
  </si>
  <si>
    <t>18.</t>
  </si>
  <si>
    <t>Нарахування амортизації на безоплатно отримані активи, усього, у т.ч.:</t>
  </si>
  <si>
    <t>18.1</t>
  </si>
  <si>
    <t>18.1.4</t>
  </si>
  <si>
    <t>нарахування амортизації на безоплатно отримані активи</t>
  </si>
  <si>
    <t>18.2</t>
  </si>
  <si>
    <t>18.2.4</t>
  </si>
  <si>
    <t>кошти державного бюджету від Національної служби здоров'я України</t>
  </si>
  <si>
    <t>кошти від надання послуг з  медичної діяльності</t>
  </si>
  <si>
    <t>кошти від реалізації продукції молочної кухні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</si>
  <si>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 xml:space="preserve"> (платні палати, стажування інтернів, відшкодування від страхової компанії)</t>
    </r>
  </si>
  <si>
    <t>кошти медичної субвенції з державного бюджету</t>
  </si>
  <si>
    <r>
      <t xml:space="preserve">кошти державного бюджету </t>
    </r>
    <r>
      <rPr>
        <i/>
        <sz val="14"/>
        <rFont val="Times New Roman"/>
        <family val="1"/>
        <charset val="204"/>
      </rPr>
      <t>(відшкодування лікарям-інтернам за проходження інтернатури</t>
    </r>
    <r>
      <rPr>
        <sz val="14"/>
        <rFont val="Times New Roman"/>
        <family val="1"/>
        <charset val="204"/>
      </rPr>
      <t>)</t>
    </r>
  </si>
  <si>
    <t>кошти бюджету ВМОТГ/кошти  бюджету ВМТГ</t>
  </si>
  <si>
    <r>
      <t>кошти від власних надходжень (</t>
    </r>
    <r>
      <rPr>
        <i/>
        <sz val="14"/>
        <rFont val="Times New Roman"/>
        <family val="1"/>
        <charset val="204"/>
      </rPr>
      <t>платні</t>
    </r>
    <r>
      <rPr>
        <sz val="14"/>
        <rFont val="Times New Roman"/>
        <family val="1"/>
        <charset val="204"/>
      </rPr>
      <t xml:space="preserve"> </t>
    </r>
    <r>
      <rPr>
        <i/>
        <sz val="14"/>
        <rFont val="Times New Roman"/>
        <family val="1"/>
        <charset val="204"/>
      </rPr>
      <t>палати, стажування інтернів, відшкодування від страхової компанії</t>
    </r>
    <r>
      <rPr>
        <sz val="14"/>
        <rFont val="Times New Roman"/>
        <family val="1"/>
        <charset val="204"/>
      </rPr>
      <t>)</t>
    </r>
  </si>
  <si>
    <t>кошти, отримані від реалізації в установленому порядку майна (крім нерухомого майна)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</si>
  <si>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</si>
  <si>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надходження від відсотків за залишками коштів на поточних рахунках</t>
  </si>
  <si>
    <t>благодійна допомога в грошовому еквіваленті</t>
  </si>
  <si>
    <t>благодійна допомога в натуральній формі</t>
  </si>
  <si>
    <t>дохід від курсової різниці на залишок коштів валютного рахунку</t>
  </si>
  <si>
    <t>надходження від відсотків за залишками коштів на депозитних рахунках</t>
  </si>
  <si>
    <t>дохід від оприбуткування  вторсировини (металобрухт)</t>
  </si>
  <si>
    <t xml:space="preserve"> </t>
  </si>
  <si>
    <t xml:space="preserve">запчастини до медичного обладнання, основних засобів, інших необороних матеріальних активів та інші необороні матеріальні активи </t>
  </si>
  <si>
    <t>проїздні квитки, поповнення смарт карток</t>
  </si>
  <si>
    <t xml:space="preserve">ремонт та технічне обслуговування авто </t>
  </si>
  <si>
    <t>інформатизація</t>
  </si>
  <si>
    <t>консультаційні послуги</t>
  </si>
  <si>
    <t>інші послуги</t>
  </si>
  <si>
    <t>паливно-мастильні матеріали, автозапчастини</t>
  </si>
  <si>
    <t>амортизація</t>
  </si>
  <si>
    <t>медичне транспортувння</t>
  </si>
  <si>
    <t>програма "Стоп грип"</t>
  </si>
  <si>
    <t>втрати від курсових різниць</t>
  </si>
  <si>
    <t xml:space="preserve">податки </t>
  </si>
  <si>
    <t xml:space="preserve">земельний податок </t>
  </si>
  <si>
    <t>кошти отримані від реалізації продукції молочної кухні</t>
  </si>
  <si>
    <t>кошти від надання послуг з  немедичної діяльності</t>
  </si>
  <si>
    <t>кошти державного бюджету (відшкодування лікарям-інтернам за проходження інтернатури)</t>
  </si>
  <si>
    <r>
      <t xml:space="preserve">кошти отримані від власних надходжень </t>
    </r>
    <r>
      <rPr>
        <i/>
        <sz val="14"/>
        <rFont val="Times New Roman"/>
        <family val="1"/>
        <charset val="204"/>
      </rPr>
      <t>(платні палати, стажування інтернів)</t>
    </r>
  </si>
  <si>
    <t>кошти отримані від реалізації в установленому порядку майна (крім нерухомого майна)</t>
  </si>
  <si>
    <r>
      <t xml:space="preserve">відшкодування орендарями  </t>
    </r>
    <r>
      <rPr>
        <i/>
        <sz val="14"/>
        <rFont val="Times New Roman"/>
        <family val="1"/>
        <charset val="204"/>
      </rPr>
      <t>(енергоносії)</t>
    </r>
  </si>
  <si>
    <t xml:space="preserve">благодійна допомога в грошовому еквіваленті </t>
  </si>
  <si>
    <t>дохід від курсової різниці</t>
  </si>
  <si>
    <t>виконавчі листи та аліменти</t>
  </si>
  <si>
    <t>соціальне забезпечення</t>
  </si>
  <si>
    <t>видатки від курсової різниці</t>
  </si>
  <si>
    <t>набір шаф 1 комплект</t>
  </si>
  <si>
    <t>шафа-купе з тумбою</t>
  </si>
  <si>
    <t>комплект стелажів</t>
  </si>
  <si>
    <t>припливно-витяжна система вентиляції повітря (8 шт)</t>
  </si>
  <si>
    <t>фотокалітичний знезаражувач і очисник повітря (7 шт)</t>
  </si>
  <si>
    <t>установка (рамка) дезінфікуюча (4 шт)</t>
  </si>
  <si>
    <t>автоматичний біохімічний аналізатор ACCENT</t>
  </si>
  <si>
    <t>автоматичний гематологічний аналізатор Abacus</t>
  </si>
  <si>
    <t xml:space="preserve">дефібрилятор-монітор BeneHeart </t>
  </si>
  <si>
    <t>насос шприцевий BeneFusion (8 шт)</t>
  </si>
  <si>
    <t>напівавтоматичний 2-канальний коагулометр</t>
  </si>
  <si>
    <t>опромінювач з пеленальним столом типу АИСТ-3</t>
  </si>
  <si>
    <t>реаніматор для новонароджених Т-типу NeopuffTM (2 шт)</t>
  </si>
  <si>
    <t>ультразвукова система Affiniti</t>
  </si>
  <si>
    <t>ІФА аналізатор в комплекті</t>
  </si>
  <si>
    <t>система Mistral</t>
  </si>
  <si>
    <t>повітряний компресор (2 шт)</t>
  </si>
  <si>
    <t>система автоматична інфузійна Infusomat Compact Plus насос волюметричний інфузійний</t>
  </si>
  <si>
    <t>аналізатор газів крові</t>
  </si>
  <si>
    <t>пральна машина Indesit</t>
  </si>
  <si>
    <t>центрифуга лабораторна</t>
  </si>
  <si>
    <t>вантажний автомобіль CKC PGP-05 PK (рефрижераторний)</t>
  </si>
  <si>
    <t>шафа шестисекційна</t>
  </si>
  <si>
    <t>шафа з вітриною</t>
  </si>
  <si>
    <t>аудіометр Sentiero Screening</t>
  </si>
  <si>
    <t>столик анастезіолога, стільниця з нержавіючої сталі СА-3</t>
  </si>
  <si>
    <t>шафа медична для ендоскопів ШМБ 15-Е</t>
  </si>
  <si>
    <t>шафа матеріальна (2 шт)</t>
  </si>
  <si>
    <t>світильник оглядовий 12 світлодіодів сенсорний VioLight-2</t>
  </si>
  <si>
    <t>монітор для вимірювання АТи ЧСС ABMP50 укомплектований манжетами для немовлят (2 шт)</t>
  </si>
  <si>
    <t>монітор пацієнта G2A</t>
  </si>
  <si>
    <t>монітор пацієнта IMEG10 Mindray</t>
  </si>
  <si>
    <t>двухканальный шприцевой дозатор SN-50F66 (8 шт)</t>
  </si>
  <si>
    <t>ультразвукова система  експертного класу DC-80 X-Insight укомлектована: фазований датчик, P10-4E (неонаталогічний), мікроконвексний датчик  С7-3Е, L12-3E лінійний датчик з технологією ComboWave, принтер ч/б</t>
  </si>
  <si>
    <t>лампа для фототерапії Okuman Medikal (Туреччина) (2 шт)</t>
  </si>
  <si>
    <t>реанімаційа стійка для новонароджених Kangaroo KR-1000 (NOVOS) Турція</t>
  </si>
  <si>
    <t>апарат для штучної вентиляції легень SLE1000 СРАР (Англія)</t>
  </si>
  <si>
    <t>аналізатор газів та електролітів крові GEM Premier 3500 (США)</t>
  </si>
  <si>
    <t>автоматичний гематологічний аналізатор DF-50CRP - Сучасний 5-DIFF аналізатор</t>
  </si>
  <si>
    <t>відсмоктувач медичний "БІОМЕД" електричний, модель 7А-23В (20л) (5 шт)</t>
  </si>
  <si>
    <t>портативний пульсоксиметр CX130  укомплектований датчиком SpO2 для новонароджених або педіатричним багаторазового використання (4 шт)</t>
  </si>
  <si>
    <t>джерело безперебійного живлення</t>
  </si>
  <si>
    <t xml:space="preserve">електрокардіограф "Мідас-ЕК1Т"ТУ У 33.1-14330333-002-2003" </t>
  </si>
  <si>
    <t xml:space="preserve">апарат для вакуумного масажу АМВО-2М  </t>
  </si>
  <si>
    <t>лайтбокси</t>
  </si>
  <si>
    <t>придбання персональних комп'ютерів</t>
  </si>
  <si>
    <t>придбання персональних комп'ютерів та оргтехніки (у 2019 році - комп'ютерів 27шт, принтерів18 шт.; у 2020 році- 22 комп'ютера, 25 принтерів)</t>
  </si>
  <si>
    <t xml:space="preserve">придбання персональних комп'ютерів </t>
  </si>
  <si>
    <t>м'який інвентар, господарські товари</t>
  </si>
  <si>
    <t>чайник електричний (12 шт)</t>
  </si>
  <si>
    <t>електро плита</t>
  </si>
  <si>
    <t>вогнегасники</t>
  </si>
  <si>
    <t>гігрометри</t>
  </si>
  <si>
    <t>жалюзі вертикальні (5 шт)</t>
  </si>
  <si>
    <t>ролети тканеві (12 шт)</t>
  </si>
  <si>
    <t>візок для перевезення їжі</t>
  </si>
  <si>
    <t>стілець (25 шт)</t>
  </si>
  <si>
    <t>крісло</t>
  </si>
  <si>
    <t>стіл з полицями та надбудовою (7 шт)</t>
  </si>
  <si>
    <t>стіл з бортом пристінний (5 шт)</t>
  </si>
  <si>
    <t>стіл</t>
  </si>
  <si>
    <t>посібник "Публічні закупівлі, практичні рішення та алгоритм проведення торгів"</t>
  </si>
  <si>
    <t>лічильник ЛС механічний (2 шт)</t>
  </si>
  <si>
    <r>
      <t>ролети тканеві (33,78 м</t>
    </r>
    <r>
      <rPr>
        <vertAlign val="superscript"/>
        <sz val="14"/>
        <rFont val="Times New Roman"/>
        <family val="1"/>
        <charset val="204"/>
      </rPr>
      <t>2</t>
    </r>
    <r>
      <rPr>
        <sz val="14"/>
        <rFont val="Times New Roman"/>
        <family val="1"/>
        <charset val="204"/>
      </rPr>
      <t>)</t>
    </r>
  </si>
  <si>
    <t>принтери (2 шт)</t>
  </si>
  <si>
    <t>мобільні телефони (3 шт)</t>
  </si>
  <si>
    <t>халати (20 шт)</t>
  </si>
  <si>
    <t>комплекти постільної білизни (133 шт)</t>
  </si>
  <si>
    <t>ролап конструкція</t>
  </si>
  <si>
    <t>варочна поверхня</t>
  </si>
  <si>
    <t>крісло-ліжко</t>
  </si>
  <si>
    <t>набір навісних шаф</t>
  </si>
  <si>
    <t>столик універсальний (3 шт)</t>
  </si>
  <si>
    <t>столик</t>
  </si>
  <si>
    <t xml:space="preserve">крісло розкладне </t>
  </si>
  <si>
    <t>штатив ШТ-1</t>
  </si>
  <si>
    <t>опромінювач бактерицидний ОБН-75МЕ (23 шт)</t>
  </si>
  <si>
    <t>стійка для приладів СТП-1 (5 шт)</t>
  </si>
  <si>
    <t xml:space="preserve">контейнер для ТПВ з кришкою </t>
  </si>
  <si>
    <t>холодильник Grunhelm GRW-138DD</t>
  </si>
  <si>
    <t>столик для приладів СП-1 (2 шт)</t>
  </si>
  <si>
    <t>столик сповивальний ССп-2</t>
  </si>
  <si>
    <t>столик маніпуляційний СМ-2 (2 шт)</t>
  </si>
  <si>
    <t>стійка для шприцевих дозаторів СТШ-1 (5шт)</t>
  </si>
  <si>
    <t>столик маніпуляційний , столешниця з нержавіючої сталі СМ-4К</t>
  </si>
  <si>
    <t>столик для приладів СП-3</t>
  </si>
  <si>
    <t>шафа медична з бактерицидними лампами ШМБ-8 (3 шт)</t>
  </si>
  <si>
    <t>реконструкція території насосної з улаштуванням приміщення для медичних відходів та тимчасової стоянки для автомобілів КНП "ВМКЛ "ЦМтаД" по вул.Маяковського,138 в м.Вінниці</t>
  </si>
  <si>
    <t>реконструкція та реставрація (реконструкція пологового будинку та насосної станції)</t>
  </si>
  <si>
    <t>капітальний ремонт інженерних мереж будівлі дитячого стаціонару КНП "ВКМЛ "ЦМтаД"</t>
  </si>
  <si>
    <t xml:space="preserve">капітальний ремонт приміщень четвертого поверху пологового будинку міської лікарні "Центр матері та дитини" </t>
  </si>
  <si>
    <t>проведення капітальних ремонтів (галереї)</t>
  </si>
  <si>
    <t>припливно-витяжна система вентиляції повітря (11 шт)</t>
  </si>
  <si>
    <t>кухня</t>
  </si>
  <si>
    <t>системний блок Everest Enterpise7400</t>
  </si>
  <si>
    <t xml:space="preserve">апарат для вакуумного масажу АМВО-2М     </t>
  </si>
  <si>
    <t>холодильна шафа-вітрина "ICE STREAM" (2 шт)</t>
  </si>
  <si>
    <t>вітрина холодильна "FROST STREAM"</t>
  </si>
  <si>
    <t xml:space="preserve">системний блок </t>
  </si>
  <si>
    <t>термостат сухоповітряний ТС -80</t>
  </si>
  <si>
    <t>аквадистилятор електричний ДЄ-25М</t>
  </si>
  <si>
    <t>плита електрична секційна ПЕ-6</t>
  </si>
  <si>
    <t>мийка виробнича 1700*840*850глиб 400 мм (2 Шт)</t>
  </si>
  <si>
    <t>шафа холодильна вітринна 650*710*2100 П-390С (2 шт)</t>
  </si>
  <si>
    <t>світильник операційний L735-ІІ 5-ти рефлекторний</t>
  </si>
  <si>
    <t>системний блок (2)</t>
  </si>
  <si>
    <t xml:space="preserve">монітор LG 1734S               </t>
  </si>
  <si>
    <t>багатофункціональний пристрій (2 шт)</t>
  </si>
  <si>
    <t>харчоблок (вул. Хмельницьке шосе, 96)   (будівля)</t>
  </si>
  <si>
    <t>придбання персональних комп'ютерів та оргтехніки(у 2019 році- комп'ютерів 27шт, принтерів18 шт.; у 2020 році- 22 комп'ютера, 25 принтерів)</t>
  </si>
  <si>
    <t>гігрометр ВІТ-Ш-2(+16+40С)ТУ З України 14307481.001-92 УКТЗЕД 9025808010 (7 шт)</t>
  </si>
  <si>
    <t>стіл в вестибюль</t>
  </si>
  <si>
    <t>стіл кухонний</t>
  </si>
  <si>
    <t>стіл комп'ютерний</t>
  </si>
  <si>
    <t>інгалятор компресорний ONRON</t>
  </si>
  <si>
    <t>матрац для ліжечка</t>
  </si>
  <si>
    <t>електрочайник</t>
  </si>
  <si>
    <t>стіл кутовий лівий (61 шт)</t>
  </si>
  <si>
    <t>стіл кутовий правий (84 шт)</t>
  </si>
  <si>
    <t>тумба (150 шт)</t>
  </si>
  <si>
    <t>протипролежневий матрац</t>
  </si>
  <si>
    <t>ліжка новонароджених (4 шт)</t>
  </si>
  <si>
    <t>матраци (5 шт)</t>
  </si>
  <si>
    <t>утилізатор голок</t>
  </si>
  <si>
    <t>холодильник (2 шт)</t>
  </si>
  <si>
    <t>мікрохвильова</t>
  </si>
  <si>
    <t>бойлер</t>
  </si>
  <si>
    <t>тумба під мікрохвильову</t>
  </si>
  <si>
    <t>ліжко без спинки (3 шт)</t>
  </si>
  <si>
    <t xml:space="preserve">тумба приліжкова </t>
  </si>
  <si>
    <t>плед (4 шт)</t>
  </si>
  <si>
    <t>подушка (4 шт)</t>
  </si>
  <si>
    <t>ковдра (4 шт)</t>
  </si>
  <si>
    <t>захист для матраца (4 шт)</t>
  </si>
  <si>
    <t xml:space="preserve">ліжко зі спинкою (2 шт) </t>
  </si>
  <si>
    <t>столик журнальний</t>
  </si>
  <si>
    <t>тумба приліжкова (4 шт)</t>
  </si>
  <si>
    <t>стільниця S-946 статуріо 28 мм</t>
  </si>
  <si>
    <t>матрац пружинний 0,9*2,00 (5 шт)</t>
  </si>
  <si>
    <t>ламелі (ніжки) 0,90*2,00 (5 шт)</t>
  </si>
  <si>
    <t>тумба для речей (4 шт)</t>
  </si>
  <si>
    <t xml:space="preserve">тумбочка </t>
  </si>
  <si>
    <t>збірник для очищеної води на 100л з кришкою</t>
  </si>
  <si>
    <t xml:space="preserve">рушникосушарка стандарт П9 500*900 електро </t>
  </si>
  <si>
    <t>опромінювач бактерицидний ОБН-150МП (3 шт)</t>
  </si>
  <si>
    <t>опромінювач бактерицидний ОБН-75М (10 шт)</t>
  </si>
  <si>
    <t xml:space="preserve">мийка виробнича 630*630*850 глиб 450 </t>
  </si>
  <si>
    <t>мийка виробнича 630*630*850 глиб 350 (2 шт)</t>
  </si>
  <si>
    <t>мийка виробнича 840*840*850 глиб 450 (3 Шт)</t>
  </si>
  <si>
    <t>реконструкція будівлі харчоблоку</t>
  </si>
  <si>
    <t xml:space="preserve">капітальний ремонт інженерних мереж будівлі дитячого стаціонару КНП «ВМКЛ «ЦМтаД»  </t>
  </si>
  <si>
    <r>
      <t>Кошти державного бюджету (</t>
    </r>
    <r>
      <rPr>
        <b/>
        <i/>
        <sz val="14"/>
        <rFont val="Times New Roman"/>
        <family val="1"/>
        <charset val="204"/>
      </rPr>
      <t>відшкодування лікарям-інтернам за проходження інтернатури)</t>
    </r>
  </si>
  <si>
    <r>
      <t xml:space="preserve">Коштів від власних надходжень </t>
    </r>
    <r>
      <rPr>
        <i/>
        <sz val="14"/>
        <rFont val="Times New Roman"/>
        <family val="1"/>
        <charset val="204"/>
      </rPr>
      <t>(платні палати, стажування інтернів, відшкодування від страхової компанії)</t>
    </r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</si>
  <si>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</si>
  <si>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В.П. Присяжнюк</t>
  </si>
  <si>
    <t>___________________</t>
  </si>
  <si>
    <t>В.П.Присяжнюк</t>
  </si>
  <si>
    <t>електроплита</t>
  </si>
  <si>
    <t>модернізація, модифікація (добудова, дообладнання, реконструкція) основних засобів, усього, в т ч :</t>
  </si>
  <si>
    <t>капітальний ремонт, усього, в т.ч.:</t>
  </si>
  <si>
    <t>придбання (виготовлення) інших необоротних матеріальних активів, усього, в т.ч.:</t>
  </si>
  <si>
    <t>2019 рік</t>
  </si>
  <si>
    <t>2020 рік</t>
  </si>
  <si>
    <t>Звітний період 2020 рік</t>
  </si>
  <si>
    <t>Факт 2019 року</t>
  </si>
  <si>
    <t>План 2020 року</t>
  </si>
  <si>
    <t>Факт 2020 року</t>
  </si>
  <si>
    <t xml:space="preserve">ЗВІТ 
 про виконання показників фінансового плану комунального некомерційного підприємства                                                     "Вінницька міська клінічна лікарня "Центр матері та дитини" 
за 2020 рік
        </t>
  </si>
  <si>
    <t xml:space="preserve">  </t>
  </si>
  <si>
    <t xml:space="preserve">гігрометр </t>
  </si>
  <si>
    <t xml:space="preserve">обігрівач конвекційний Saturn </t>
  </si>
  <si>
    <t>обігрівач масляний ST-OH445</t>
  </si>
  <si>
    <t>праска електрична Braun</t>
  </si>
  <si>
    <t xml:space="preserve">небулайзер </t>
  </si>
  <si>
    <t>праска Philips GG142/40</t>
  </si>
  <si>
    <t>холодильник побутовий Liebher Comfort</t>
  </si>
  <si>
    <t>окуляри для апарату</t>
  </si>
  <si>
    <t>багатофункціональний пристрій А4 ч/б Canon I-SE</t>
  </si>
  <si>
    <t>апарат ШВЛ з ручним приводом "Біщмед"</t>
  </si>
  <si>
    <t>кушетка медична оглядова</t>
  </si>
  <si>
    <t>стерилізатор для пляшок SCF 284/03/AС б/в</t>
  </si>
  <si>
    <t>монітор LG 23/8 24MP58QP(IPS)</t>
  </si>
  <si>
    <t>монітор пацієнта/пульсоксиметр CMS60D</t>
  </si>
  <si>
    <t>плита електрична Hilton Hec-201</t>
  </si>
  <si>
    <t>дитячі електронні ваги Moment</t>
  </si>
  <si>
    <t>дитячі електронні ваги Beurer BY 80</t>
  </si>
  <si>
    <t>система для контролю рівня глюкози в крові Акку-Чек (10 шт)</t>
  </si>
  <si>
    <t>світильник ОБН-75 М1*30 Вт</t>
  </si>
  <si>
    <t>комплект (клавіатура+мишка)</t>
  </si>
  <si>
    <t>реконструкція будівлі пологового будинку (термомодернізація) КНП "ВМКЛ "ЦМтаД" по вул. Маяковського, 138 в м.Вінниці</t>
  </si>
  <si>
    <t xml:space="preserve">капітальний ремонт приміщень   </t>
  </si>
  <si>
    <t>Придбання (виготовлення) інших необоротних матеріальних активів, усього, в т.ч.:</t>
  </si>
  <si>
    <t>Модернізація, модифікація (добудова, дообладнання, реконструкція) основних засобів, усього, в т ч :</t>
  </si>
  <si>
    <t>Капітальний ремонт, усього, в т.ч.:</t>
  </si>
  <si>
    <t>Бюджетне фінансування (кошти бюджету ВМТГ/кошти бюджету ВМОТГ)</t>
  </si>
  <si>
    <t>Інші джерела (НСЗУ)</t>
  </si>
  <si>
    <t>шафа</t>
  </si>
  <si>
    <t>засіб КЗІ</t>
  </si>
  <si>
    <t>шафа комбінована трьохдверна</t>
  </si>
  <si>
    <t>покривало 150*210 (3 шт)</t>
  </si>
  <si>
    <t>халат хір.Мед.зел. Р 60-62 (30шт)</t>
  </si>
  <si>
    <t>пелюшки (60 шт)</t>
  </si>
  <si>
    <t>простині дор. (10 шт)</t>
  </si>
  <si>
    <t xml:space="preserve">стіл обідній </t>
  </si>
  <si>
    <t xml:space="preserve">ліжко </t>
  </si>
  <si>
    <t xml:space="preserve">столик пенальний </t>
  </si>
  <si>
    <t>пенал</t>
  </si>
  <si>
    <t>Власні кошти (кошти від надання послуг з медичної діяльності)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</si>
</sst>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.0_);_(* \(#,##0.0\);_(* &quot;-&quot;??_);_(@_)"/>
    <numFmt numFmtId="178" formatCode="_(* #,##0_);_(* \(#,##0\);_(* &quot;-&quot;??_);_(@_)"/>
    <numFmt numFmtId="179" formatCode="_(* #,##0.0_);_(* \(#,##0.0\);_(* &quot;-&quot;_);_(@_)"/>
    <numFmt numFmtId="180" formatCode="_-* #,##0.0\ _₴_-;\-* #,##0.0\ _₴_-;_-* &quot;-&quot;?\ _₴_-;_-@_-"/>
  </numFmts>
  <fonts count="90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u/>
      <sz val="16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vertAlign val="superscript"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u/>
      <sz val="16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54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4" fillId="2" borderId="0" applyNumberFormat="0" applyBorder="0" applyAlignment="0" applyProtection="0"/>
    <xf numFmtId="0" fontId="1" fillId="2" borderId="0" applyNumberFormat="0" applyBorder="0" applyAlignment="0" applyProtection="0"/>
    <xf numFmtId="0" fontId="24" fillId="3" borderId="0" applyNumberFormat="0" applyBorder="0" applyAlignment="0" applyProtection="0"/>
    <xf numFmtId="0" fontId="1" fillId="3" borderId="0" applyNumberFormat="0" applyBorder="0" applyAlignment="0" applyProtection="0"/>
    <xf numFmtId="0" fontId="24" fillId="4" borderId="0" applyNumberFormat="0" applyBorder="0" applyAlignment="0" applyProtection="0"/>
    <xf numFmtId="0" fontId="1" fillId="4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6" borderId="0" applyNumberFormat="0" applyBorder="0" applyAlignment="0" applyProtection="0"/>
    <xf numFmtId="0" fontId="1" fillId="6" borderId="0" applyNumberFormat="0" applyBorder="0" applyAlignment="0" applyProtection="0"/>
    <xf numFmtId="0" fontId="2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9" borderId="0" applyNumberFormat="0" applyBorder="0" applyAlignment="0" applyProtection="0"/>
    <xf numFmtId="0" fontId="1" fillId="9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5" fillId="12" borderId="0" applyNumberFormat="0" applyBorder="0" applyAlignment="0" applyProtection="0"/>
    <xf numFmtId="0" fontId="7" fillId="12" borderId="0" applyNumberFormat="0" applyBorder="0" applyAlignment="0" applyProtection="0"/>
    <xf numFmtId="0" fontId="25" fillId="9" borderId="0" applyNumberFormat="0" applyBorder="0" applyAlignment="0" applyProtection="0"/>
    <xf numFmtId="0" fontId="7" fillId="9" borderId="0" applyNumberFormat="0" applyBorder="0" applyAlignment="0" applyProtection="0"/>
    <xf numFmtId="0" fontId="25" fillId="10" borderId="0" applyNumberFormat="0" applyBorder="0" applyAlignment="0" applyProtection="0"/>
    <xf numFmtId="0" fontId="7" fillId="10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8" fillId="3" borderId="0" applyNumberFormat="0" applyBorder="0" applyAlignment="0" applyProtection="0"/>
    <xf numFmtId="0" fontId="10" fillId="20" borderId="1" applyNumberFormat="0" applyAlignment="0" applyProtection="0"/>
    <xf numFmtId="0" fontId="15" fillId="21" borderId="2" applyNumberFormat="0" applyAlignment="0" applyProtection="0"/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165" fontId="5" fillId="0" borderId="0" applyFont="0" applyFill="0" applyBorder="0" applyAlignment="0" applyProtection="0"/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0" fontId="19" fillId="0" borderId="0" applyNumberFormat="0" applyFill="0" applyBorder="0" applyAlignment="0" applyProtection="0"/>
    <xf numFmtId="171" fontId="27" fillId="0" borderId="0" applyAlignment="0">
      <alignment wrapText="1"/>
    </xf>
    <xf numFmtId="0" fontId="22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8" fillId="7" borderId="1" applyNumberFormat="0" applyAlignment="0" applyProtection="0"/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29" fillId="22" borderId="7">
      <alignment horizontal="left" vertical="center"/>
      <protection locked="0"/>
    </xf>
    <xf numFmtId="49" fontId="29" fillId="22" borderId="7">
      <alignment horizontal="left" vertical="center"/>
    </xf>
    <xf numFmtId="4" fontId="29" fillId="22" borderId="7">
      <alignment horizontal="right" vertical="center"/>
      <protection locked="0"/>
    </xf>
    <xf numFmtId="4" fontId="29" fillId="22" borderId="7">
      <alignment horizontal="right" vertical="center"/>
    </xf>
    <xf numFmtId="4" fontId="30" fillId="22" borderId="7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</xf>
    <xf numFmtId="49" fontId="26" fillId="22" borderId="3">
      <alignment horizontal="left" vertical="center"/>
    </xf>
    <xf numFmtId="49" fontId="30" fillId="22" borderId="3">
      <alignment horizontal="left" vertical="center"/>
      <protection locked="0"/>
    </xf>
    <xf numFmtId="49" fontId="30" fillId="22" borderId="3">
      <alignment horizontal="left" vertical="center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</xf>
    <xf numFmtId="4" fontId="26" fillId="22" borderId="3">
      <alignment horizontal="right" vertical="center"/>
    </xf>
    <xf numFmtId="4" fontId="30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37" fillId="0" borderId="3">
      <alignment horizontal="left" vertical="center"/>
      <protection locked="0"/>
    </xf>
    <xf numFmtId="49" fontId="37" fillId="0" borderId="3">
      <alignment horizontal="left" vertical="center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" fontId="37" fillId="0" borderId="3">
      <alignment horizontal="right" vertical="center"/>
      <protection locked="0"/>
    </xf>
    <xf numFmtId="4" fontId="37" fillId="0" borderId="3">
      <alignment horizontal="right" vertical="center"/>
    </xf>
    <xf numFmtId="4" fontId="38" fillId="0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9" fontId="37" fillId="0" borderId="3">
      <alignment horizontal="left" vertical="center"/>
      <protection locked="0"/>
    </xf>
    <xf numFmtId="49" fontId="38" fillId="0" borderId="3">
      <alignment horizontal="left" vertical="center"/>
      <protection locked="0"/>
    </xf>
    <xf numFmtId="4" fontId="37" fillId="0" borderId="3">
      <alignment horizontal="right" vertical="center"/>
      <protection locked="0"/>
    </xf>
    <xf numFmtId="0" fontId="20" fillId="0" borderId="8" applyNumberFormat="0" applyFill="0" applyAlignment="0" applyProtection="0"/>
    <xf numFmtId="0" fontId="17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1" fillId="26" borderId="3">
      <alignment horizontal="right" vertical="center"/>
      <protection locked="0"/>
    </xf>
    <xf numFmtId="4" fontId="41" fillId="27" borderId="3">
      <alignment horizontal="right" vertical="center"/>
      <protection locked="0"/>
    </xf>
    <xf numFmtId="4" fontId="41" fillId="28" borderId="3">
      <alignment horizontal="right" vertical="center"/>
      <protection locked="0"/>
    </xf>
    <xf numFmtId="0" fontId="9" fillId="20" borderId="10" applyNumberFormat="0" applyAlignment="0" applyProtection="0"/>
    <xf numFmtId="49" fontId="26" fillId="0" borderId="3">
      <alignment horizontal="left" vertical="center" wrapText="1"/>
      <protection locked="0"/>
    </xf>
    <xf numFmtId="49" fontId="26" fillId="0" borderId="3">
      <alignment horizontal="left" vertical="center" wrapText="1"/>
      <protection locked="0"/>
    </xf>
    <xf numFmtId="0" fontId="16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7" fillId="16" borderId="0" applyNumberFormat="0" applyBorder="0" applyAlignment="0" applyProtection="0"/>
    <xf numFmtId="0" fontId="25" fillId="17" borderId="0" applyNumberFormat="0" applyBorder="0" applyAlignment="0" applyProtection="0"/>
    <xf numFmtId="0" fontId="7" fillId="17" borderId="0" applyNumberFormat="0" applyBorder="0" applyAlignment="0" applyProtection="0"/>
    <xf numFmtId="0" fontId="25" fillId="18" borderId="0" applyNumberFormat="0" applyBorder="0" applyAlignment="0" applyProtection="0"/>
    <xf numFmtId="0" fontId="7" fillId="18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9" borderId="0" applyNumberFormat="0" applyBorder="0" applyAlignment="0" applyProtection="0"/>
    <xf numFmtId="0" fontId="7" fillId="19" borderId="0" applyNumberFormat="0" applyBorder="0" applyAlignment="0" applyProtection="0"/>
    <xf numFmtId="0" fontId="42" fillId="7" borderId="1" applyNumberFormat="0" applyAlignment="0" applyProtection="0"/>
    <xf numFmtId="0" fontId="8" fillId="7" borderId="1" applyNumberFormat="0" applyAlignment="0" applyProtection="0"/>
    <xf numFmtId="0" fontId="43" fillId="20" borderId="10" applyNumberFormat="0" applyAlignment="0" applyProtection="0"/>
    <xf numFmtId="0" fontId="9" fillId="20" borderId="10" applyNumberFormat="0" applyAlignment="0" applyProtection="0"/>
    <xf numFmtId="0" fontId="44" fillId="20" borderId="1" applyNumberFormat="0" applyAlignment="0" applyProtection="0"/>
    <xf numFmtId="0" fontId="10" fillId="20" borderId="1" applyNumberFormat="0" applyAlignment="0" applyProtection="0"/>
    <xf numFmtId="172" fontId="5" fillId="0" borderId="0" applyFont="0" applyFill="0" applyBorder="0" applyAlignment="0" applyProtection="0"/>
    <xf numFmtId="0" fontId="45" fillId="0" borderId="4" applyNumberFormat="0" applyFill="0" applyAlignment="0" applyProtection="0"/>
    <xf numFmtId="0" fontId="11" fillId="0" borderId="4" applyNumberFormat="0" applyFill="0" applyAlignment="0" applyProtection="0"/>
    <xf numFmtId="0" fontId="46" fillId="0" borderId="5" applyNumberFormat="0" applyFill="0" applyAlignment="0" applyProtection="0"/>
    <xf numFmtId="0" fontId="12" fillId="0" borderId="5" applyNumberFormat="0" applyFill="0" applyAlignment="0" applyProtection="0"/>
    <xf numFmtId="0" fontId="47" fillId="0" borderId="6" applyNumberFormat="0" applyFill="0" applyAlignment="0" applyProtection="0"/>
    <xf numFmtId="0" fontId="13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14" fillId="0" borderId="11" applyNumberFormat="0" applyFill="0" applyAlignment="0" applyProtection="0"/>
    <xf numFmtId="0" fontId="49" fillId="21" borderId="2" applyNumberFormat="0" applyAlignment="0" applyProtection="0"/>
    <xf numFmtId="0" fontId="15" fillId="21" borderId="2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23" borderId="0" applyNumberFormat="0" applyBorder="0" applyAlignment="0" applyProtection="0"/>
    <xf numFmtId="0" fontId="1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5" fillId="0" borderId="0"/>
    <xf numFmtId="0" fontId="2" fillId="0" borderId="0"/>
    <xf numFmtId="0" fontId="5" fillId="0" borderId="0"/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1" fillId="3" borderId="0" applyNumberFormat="0" applyBorder="0" applyAlignment="0" applyProtection="0"/>
    <xf numFmtId="0" fontId="18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5" borderId="9" applyNumberFormat="0" applyFont="0" applyAlignment="0" applyProtection="0"/>
    <xf numFmtId="0" fontId="5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8" applyNumberFormat="0" applyFill="0" applyAlignment="0" applyProtection="0"/>
    <xf numFmtId="0" fontId="20" fillId="0" borderId="8" applyNumberFormat="0" applyFill="0" applyAlignment="0" applyProtection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3" fontId="57" fillId="0" borderId="0" applyFont="0" applyFill="0" applyBorder="0" applyAlignment="0" applyProtection="0"/>
    <xf numFmtId="17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4" borderId="0" applyNumberFormat="0" applyBorder="0" applyAlignment="0" applyProtection="0"/>
    <xf numFmtId="0" fontId="22" fillId="4" borderId="0" applyNumberFormat="0" applyBorder="0" applyAlignment="0" applyProtection="0"/>
    <xf numFmtId="176" fontId="59" fillId="22" borderId="12" applyFill="0" applyBorder="0">
      <alignment horizontal="center" vertical="center" wrapText="1"/>
      <protection locked="0"/>
    </xf>
    <xf numFmtId="171" fontId="60" fillId="0" borderId="0">
      <alignment wrapText="1"/>
    </xf>
    <xf numFmtId="171" fontId="27" fillId="0" borderId="0">
      <alignment wrapText="1"/>
    </xf>
    <xf numFmtId="0" fontId="5" fillId="0" borderId="0"/>
  </cellStyleXfs>
  <cellXfs count="395">
    <xf numFmtId="0" fontId="0" fillId="0" borderId="0" xfId="0"/>
    <xf numFmtId="0" fontId="62" fillId="29" borderId="3" xfId="0" applyFont="1" applyFill="1" applyBorder="1" applyAlignment="1">
      <alignment horizontal="left" vertical="center" wrapText="1"/>
    </xf>
    <xf numFmtId="0" fontId="63" fillId="22" borderId="3" xfId="0" quotePrefix="1" applyFont="1" applyFill="1" applyBorder="1" applyAlignment="1">
      <alignment horizontal="center" vertical="center"/>
    </xf>
    <xf numFmtId="0" fontId="65" fillId="22" borderId="3" xfId="0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 wrapText="1" shrinkToFit="1"/>
    </xf>
    <xf numFmtId="0" fontId="68" fillId="29" borderId="3" xfId="182" applyFont="1" applyFill="1" applyBorder="1" applyAlignment="1">
      <alignment vertical="center" wrapText="1"/>
      <protection locked="0"/>
    </xf>
    <xf numFmtId="0" fontId="68" fillId="29" borderId="3" xfId="0" applyFont="1" applyFill="1" applyBorder="1" applyAlignment="1">
      <alignment horizontal="center" vertical="center"/>
    </xf>
    <xf numFmtId="179" fontId="68" fillId="29" borderId="3" xfId="0" applyNumberFormat="1" applyFont="1" applyFill="1" applyBorder="1" applyAlignment="1">
      <alignment horizontal="center" vertical="center" wrapText="1"/>
    </xf>
    <xf numFmtId="179" fontId="68" fillId="29" borderId="15" xfId="0" applyNumberFormat="1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/>
    </xf>
    <xf numFmtId="179" fontId="62" fillId="29" borderId="3" xfId="0" applyNumberFormat="1" applyFont="1" applyFill="1" applyBorder="1" applyAlignment="1">
      <alignment horizontal="center" vertical="center" wrapText="1"/>
    </xf>
    <xf numFmtId="179" fontId="62" fillId="29" borderId="15" xfId="0" applyNumberFormat="1" applyFont="1" applyFill="1" applyBorder="1" applyAlignment="1">
      <alignment horizontal="center" vertical="center" wrapText="1"/>
    </xf>
    <xf numFmtId="0" fontId="62" fillId="29" borderId="3" xfId="182" applyFont="1" applyFill="1" applyBorder="1" applyAlignment="1">
      <alignment vertical="center" wrapText="1"/>
      <protection locked="0"/>
    </xf>
    <xf numFmtId="0" fontId="68" fillId="29" borderId="3" xfId="245" applyFont="1" applyFill="1" applyBorder="1" applyAlignment="1">
      <alignment horizontal="left" vertical="center" wrapText="1"/>
    </xf>
    <xf numFmtId="0" fontId="68" fillId="29" borderId="3" xfId="0" applyFont="1" applyFill="1" applyBorder="1" applyAlignment="1" applyProtection="1">
      <alignment horizontal="left" vertical="center" wrapText="1"/>
      <protection locked="0"/>
    </xf>
    <xf numFmtId="0" fontId="68" fillId="29" borderId="3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 applyProtection="1">
      <alignment horizontal="center" vertical="center" wrapText="1"/>
      <protection locked="0"/>
    </xf>
    <xf numFmtId="177" fontId="68" fillId="29" borderId="3" xfId="0" applyNumberFormat="1" applyFont="1" applyFill="1" applyBorder="1" applyAlignment="1">
      <alignment horizontal="center" vertical="center" wrapText="1"/>
    </xf>
    <xf numFmtId="177" fontId="62" fillId="29" borderId="3" xfId="0" applyNumberFormat="1" applyFont="1" applyFill="1" applyBorder="1" applyAlignment="1">
      <alignment horizontal="center" vertical="center" wrapText="1"/>
    </xf>
    <xf numFmtId="0" fontId="67" fillId="29" borderId="3" xfId="0" applyFont="1" applyFill="1" applyBorder="1" applyAlignment="1">
      <alignment horizontal="left" vertical="center" wrapText="1"/>
    </xf>
    <xf numFmtId="0" fontId="67" fillId="29" borderId="3" xfId="0" applyFont="1" applyFill="1" applyBorder="1" applyAlignment="1">
      <alignment horizontal="center" vertical="center"/>
    </xf>
    <xf numFmtId="177" fontId="67" fillId="29" borderId="3" xfId="0" applyNumberFormat="1" applyFont="1" applyFill="1" applyBorder="1" applyAlignment="1">
      <alignment horizontal="center" vertical="center" wrapText="1"/>
    </xf>
    <xf numFmtId="0" fontId="68" fillId="29" borderId="17" xfId="0" applyFont="1" applyFill="1" applyBorder="1" applyAlignment="1" applyProtection="1">
      <alignment horizontal="left" vertical="center" wrapText="1"/>
      <protection locked="0"/>
    </xf>
    <xf numFmtId="0" fontId="68" fillId="29" borderId="17" xfId="0" applyFont="1" applyFill="1" applyBorder="1" applyAlignment="1">
      <alignment horizontal="center" vertical="center" wrapText="1"/>
    </xf>
    <xf numFmtId="177" fontId="68" fillId="29" borderId="17" xfId="0" applyNumberFormat="1" applyFont="1" applyFill="1" applyBorder="1" applyAlignment="1">
      <alignment horizontal="center" vertical="center" wrapText="1"/>
    </xf>
    <xf numFmtId="0" fontId="68" fillId="29" borderId="17" xfId="0" applyFont="1" applyFill="1" applyBorder="1" applyAlignment="1" applyProtection="1">
      <alignment horizontal="center" vertical="center" wrapText="1"/>
      <protection locked="0"/>
    </xf>
    <xf numFmtId="0" fontId="62" fillId="29" borderId="17" xfId="0" applyFont="1" applyFill="1" applyBorder="1" applyAlignment="1">
      <alignment horizontal="center" vertical="center" wrapText="1"/>
    </xf>
    <xf numFmtId="177" fontId="62" fillId="29" borderId="17" xfId="0" applyNumberFormat="1" applyFont="1" applyFill="1" applyBorder="1" applyAlignment="1">
      <alignment horizontal="center" vertical="center" wrapText="1"/>
    </xf>
    <xf numFmtId="0" fontId="62" fillId="29" borderId="17" xfId="0" applyFont="1" applyFill="1" applyBorder="1" applyAlignment="1" applyProtection="1">
      <alignment horizontal="left" vertical="center" wrapText="1"/>
      <protection locked="0"/>
    </xf>
    <xf numFmtId="0" fontId="67" fillId="29" borderId="17" xfId="0" applyFont="1" applyFill="1" applyBorder="1" applyAlignment="1">
      <alignment horizontal="center" vertical="center" wrapText="1"/>
    </xf>
    <xf numFmtId="177" fontId="67" fillId="29" borderId="17" xfId="0" applyNumberFormat="1" applyFont="1" applyFill="1" applyBorder="1" applyAlignment="1">
      <alignment horizontal="center" vertical="center" wrapText="1"/>
    </xf>
    <xf numFmtId="0" fontId="62" fillId="29" borderId="18" xfId="0" applyFont="1" applyFill="1" applyBorder="1" applyAlignment="1">
      <alignment horizontal="left" vertical="center" wrapText="1"/>
    </xf>
    <xf numFmtId="0" fontId="68" fillId="29" borderId="3" xfId="0" applyFont="1" applyFill="1" applyBorder="1" applyAlignment="1">
      <alignment horizontal="left" vertical="center" wrapText="1"/>
    </xf>
    <xf numFmtId="0" fontId="68" fillId="29" borderId="18" xfId="0" applyFont="1" applyFill="1" applyBorder="1" applyAlignment="1">
      <alignment horizontal="left" vertical="center" wrapText="1"/>
    </xf>
    <xf numFmtId="0" fontId="68" fillId="29" borderId="19" xfId="182" applyFont="1" applyFill="1" applyBorder="1" applyAlignment="1">
      <alignment vertical="center" wrapText="1"/>
      <protection locked="0"/>
    </xf>
    <xf numFmtId="0" fontId="62" fillId="29" borderId="20" xfId="0" applyFont="1" applyFill="1" applyBorder="1" applyAlignment="1">
      <alignment horizontal="left" vertical="center" wrapText="1"/>
    </xf>
    <xf numFmtId="0" fontId="62" fillId="29" borderId="19" xfId="0" applyFont="1" applyFill="1" applyBorder="1" applyAlignment="1">
      <alignment horizontal="left" vertical="center" wrapText="1"/>
    </xf>
    <xf numFmtId="0" fontId="62" fillId="29" borderId="21" xfId="0" applyFont="1" applyFill="1" applyBorder="1" applyAlignment="1">
      <alignment horizontal="left" vertical="center" wrapText="1"/>
    </xf>
    <xf numFmtId="0" fontId="62" fillId="29" borderId="22" xfId="0" applyFont="1" applyFill="1" applyBorder="1" applyAlignment="1">
      <alignment horizontal="center" vertical="center"/>
    </xf>
    <xf numFmtId="49" fontId="68" fillId="29" borderId="3" xfId="0" applyNumberFormat="1" applyFont="1" applyFill="1" applyBorder="1" applyAlignment="1">
      <alignment horizontal="center" vertical="center"/>
    </xf>
    <xf numFmtId="178" fontId="68" fillId="29" borderId="3" xfId="0" applyNumberFormat="1" applyFont="1" applyFill="1" applyBorder="1" applyAlignment="1">
      <alignment horizontal="center" vertical="center" wrapText="1"/>
    </xf>
    <xf numFmtId="178" fontId="62" fillId="29" borderId="3" xfId="0" applyNumberFormat="1" applyFont="1" applyFill="1" applyBorder="1" applyAlignment="1">
      <alignment horizontal="center" vertical="center" wrapText="1"/>
    </xf>
    <xf numFmtId="170" fontId="62" fillId="29" borderId="3" xfId="0" applyNumberFormat="1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vertical="center"/>
    </xf>
    <xf numFmtId="0" fontId="63" fillId="0" borderId="0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>
      <alignment horizontal="center" vertical="center" wrapText="1"/>
    </xf>
    <xf numFmtId="0" fontId="65" fillId="0" borderId="17" xfId="0" applyFont="1" applyFill="1" applyBorder="1" applyAlignment="1">
      <alignment horizontal="center" vertical="center"/>
    </xf>
    <xf numFmtId="0" fontId="65" fillId="22" borderId="17" xfId="0" applyFont="1" applyFill="1" applyBorder="1" applyAlignment="1">
      <alignment horizontal="center" vertical="center"/>
    </xf>
    <xf numFmtId="0" fontId="65" fillId="22" borderId="17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center" vertical="center"/>
    </xf>
    <xf numFmtId="0" fontId="65" fillId="22" borderId="3" xfId="0" applyFont="1" applyFill="1" applyBorder="1" applyAlignment="1">
      <alignment horizontal="center" vertical="center"/>
    </xf>
    <xf numFmtId="0" fontId="63" fillId="22" borderId="3" xfId="0" applyFont="1" applyFill="1" applyBorder="1" applyAlignment="1">
      <alignment horizontal="center" vertical="center" wrapText="1"/>
    </xf>
    <xf numFmtId="179" fontId="63" fillId="22" borderId="3" xfId="0" applyNumberFormat="1" applyFont="1" applyFill="1" applyBorder="1" applyAlignment="1">
      <alignment horizontal="center" vertical="center" wrapText="1"/>
    </xf>
    <xf numFmtId="179" fontId="63" fillId="0" borderId="3" xfId="0" applyNumberFormat="1" applyFont="1" applyFill="1" applyBorder="1" applyAlignment="1">
      <alignment horizontal="center" vertical="center"/>
    </xf>
    <xf numFmtId="179" fontId="65" fillId="0" borderId="3" xfId="0" applyNumberFormat="1" applyFont="1" applyFill="1" applyBorder="1" applyAlignment="1">
      <alignment horizontal="center" vertical="center"/>
    </xf>
    <xf numFmtId="179" fontId="63" fillId="29" borderId="3" xfId="0" applyNumberFormat="1" applyFont="1" applyFill="1" applyBorder="1" applyAlignment="1">
      <alignment horizontal="center" vertical="center" wrapText="1"/>
    </xf>
    <xf numFmtId="179" fontId="65" fillId="29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0" fontId="63" fillId="22" borderId="3" xfId="0" applyFont="1" applyFill="1" applyBorder="1" applyAlignment="1">
      <alignment horizontal="left" vertical="center" wrapText="1"/>
    </xf>
    <xf numFmtId="0" fontId="65" fillId="22" borderId="0" xfId="0" applyFont="1" applyFill="1" applyBorder="1" applyAlignment="1">
      <alignment horizontal="left" vertical="center" wrapText="1"/>
    </xf>
    <xf numFmtId="0" fontId="65" fillId="22" borderId="0" xfId="0" applyFont="1" applyFill="1" applyBorder="1" applyAlignment="1">
      <alignment horizontal="center" vertical="center"/>
    </xf>
    <xf numFmtId="170" fontId="65" fillId="22" borderId="0" xfId="0" applyNumberFormat="1" applyFont="1" applyFill="1" applyBorder="1" applyAlignment="1">
      <alignment horizontal="center" vertical="center" wrapText="1"/>
    </xf>
    <xf numFmtId="170" fontId="65" fillId="22" borderId="0" xfId="0" applyNumberFormat="1" applyFont="1" applyFill="1" applyBorder="1" applyAlignment="1">
      <alignment horizontal="right" vertical="center" wrapText="1"/>
    </xf>
    <xf numFmtId="0" fontId="70" fillId="29" borderId="0" xfId="0" applyFont="1" applyFill="1" applyBorder="1" applyAlignment="1">
      <alignment horizontal="center" vertical="center" wrapText="1"/>
    </xf>
    <xf numFmtId="0" fontId="65" fillId="29" borderId="0" xfId="0" quotePrefix="1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vertical="center"/>
    </xf>
    <xf numFmtId="0" fontId="65" fillId="29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center" vertical="center"/>
    </xf>
    <xf numFmtId="170" fontId="65" fillId="0" borderId="0" xfId="0" applyNumberFormat="1" applyFont="1" applyFill="1" applyBorder="1" applyAlignment="1">
      <alignment horizontal="center" vertical="center" wrapText="1"/>
    </xf>
    <xf numFmtId="170" fontId="65" fillId="0" borderId="0" xfId="0" applyNumberFormat="1" applyFont="1" applyFill="1" applyBorder="1" applyAlignment="1">
      <alignment horizontal="right" vertical="center" wrapText="1"/>
    </xf>
    <xf numFmtId="0" fontId="65" fillId="0" borderId="0" xfId="0" applyFont="1" applyFill="1" applyBorder="1" applyAlignment="1">
      <alignment horizontal="left" vertical="center" wrapText="1"/>
    </xf>
    <xf numFmtId="0" fontId="65" fillId="0" borderId="0" xfId="0" applyFont="1" applyFill="1" applyBorder="1" applyAlignment="1">
      <alignment vertical="center" wrapText="1"/>
    </xf>
    <xf numFmtId="0" fontId="65" fillId="22" borderId="17" xfId="0" applyFont="1" applyFill="1" applyBorder="1" applyAlignment="1">
      <alignment horizontal="center" vertical="center" wrapText="1" shrinkToFit="1"/>
    </xf>
    <xf numFmtId="0" fontId="65" fillId="22" borderId="16" xfId="0" applyFont="1" applyFill="1" applyBorder="1" applyAlignment="1">
      <alignment horizontal="center" vertical="center" wrapText="1"/>
    </xf>
    <xf numFmtId="0" fontId="65" fillId="0" borderId="0" xfId="0" applyFont="1" applyBorder="1" applyAlignment="1">
      <alignment horizontal="left" vertical="center"/>
    </xf>
    <xf numFmtId="0" fontId="63" fillId="22" borderId="0" xfId="0" quotePrefix="1" applyFont="1" applyFill="1" applyBorder="1" applyAlignment="1">
      <alignment horizontal="center" vertical="center"/>
    </xf>
    <xf numFmtId="179" fontId="65" fillId="29" borderId="0" xfId="0" applyNumberFormat="1" applyFont="1" applyFill="1" applyBorder="1" applyAlignment="1">
      <alignment horizontal="center" vertical="center" wrapText="1"/>
    </xf>
    <xf numFmtId="179" fontId="63" fillId="29" borderId="0" xfId="0" applyNumberFormat="1" applyFont="1" applyFill="1" applyBorder="1" applyAlignment="1">
      <alignment vertical="center"/>
    </xf>
    <xf numFmtId="0" fontId="65" fillId="0" borderId="13" xfId="0" applyFont="1" applyFill="1" applyBorder="1" applyAlignment="1">
      <alignment horizontal="center" vertical="center"/>
    </xf>
    <xf numFmtId="179" fontId="65" fillId="29" borderId="3" xfId="0" applyNumberFormat="1" applyFont="1" applyFill="1" applyBorder="1" applyAlignment="1">
      <alignment vertical="center"/>
    </xf>
    <xf numFmtId="179" fontId="64" fillId="29" borderId="3" xfId="0" applyNumberFormat="1" applyFont="1" applyFill="1" applyBorder="1" applyAlignment="1">
      <alignment horizontal="center" vertical="center" wrapText="1"/>
    </xf>
    <xf numFmtId="179" fontId="64" fillId="29" borderId="3" xfId="0" applyNumberFormat="1" applyFont="1" applyFill="1" applyBorder="1" applyAlignment="1">
      <alignment vertical="center"/>
    </xf>
    <xf numFmtId="0" fontId="65" fillId="22" borderId="0" xfId="0" applyFont="1" applyFill="1" applyBorder="1" applyAlignment="1">
      <alignment horizontal="left" vertical="center"/>
    </xf>
    <xf numFmtId="0" fontId="65" fillId="22" borderId="0" xfId="0" applyFont="1" applyFill="1" applyBorder="1" applyAlignment="1">
      <alignment horizontal="center" vertical="center" wrapText="1"/>
    </xf>
    <xf numFmtId="179" fontId="65" fillId="29" borderId="0" xfId="0" applyNumberFormat="1" applyFont="1" applyFill="1" applyBorder="1" applyAlignment="1">
      <alignment vertical="center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vertical="center"/>
    </xf>
    <xf numFmtId="0" fontId="67" fillId="29" borderId="0" xfId="0" applyFont="1" applyFill="1" applyAlignment="1">
      <alignment horizontal="center" vertical="center"/>
    </xf>
    <xf numFmtId="0" fontId="65" fillId="29" borderId="0" xfId="0" applyFont="1" applyFill="1" applyBorder="1" applyAlignment="1">
      <alignment horizontal="left" vertical="center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center" vertical="center"/>
    </xf>
    <xf numFmtId="0" fontId="69" fillId="29" borderId="0" xfId="0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 wrapText="1"/>
    </xf>
    <xf numFmtId="49" fontId="76" fillId="29" borderId="3" xfId="0" applyNumberFormat="1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left" vertical="center" wrapText="1"/>
    </xf>
    <xf numFmtId="0" fontId="76" fillId="29" borderId="3" xfId="0" applyFont="1" applyFill="1" applyBorder="1" applyAlignment="1">
      <alignment horizontal="center" vertical="center" wrapText="1"/>
    </xf>
    <xf numFmtId="49" fontId="77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horizontal="left" vertical="center" wrapText="1"/>
    </xf>
    <xf numFmtId="0" fontId="77" fillId="29" borderId="3" xfId="0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center" vertical="center"/>
    </xf>
    <xf numFmtId="0" fontId="65" fillId="29" borderId="3" xfId="0" applyFont="1" applyFill="1" applyBorder="1" applyAlignment="1">
      <alignment vertical="center" wrapText="1"/>
    </xf>
    <xf numFmtId="179" fontId="76" fillId="29" borderId="3" xfId="0" applyNumberFormat="1" applyFont="1" applyFill="1" applyBorder="1" applyAlignment="1">
      <alignment horizontal="center" vertical="center" wrapText="1"/>
    </xf>
    <xf numFmtId="0" fontId="76" fillId="29" borderId="0" xfId="0" applyFont="1" applyFill="1" applyBorder="1" applyAlignment="1">
      <alignment vertical="center"/>
    </xf>
    <xf numFmtId="0" fontId="77" fillId="29" borderId="3" xfId="0" applyFont="1" applyFill="1" applyBorder="1" applyAlignment="1">
      <alignment horizontal="center" vertical="center" wrapText="1"/>
    </xf>
    <xf numFmtId="179" fontId="77" fillId="29" borderId="3" xfId="0" applyNumberFormat="1" applyFont="1" applyFill="1" applyBorder="1" applyAlignment="1">
      <alignment horizontal="center" vertical="center" wrapText="1"/>
    </xf>
    <xf numFmtId="177" fontId="76" fillId="29" borderId="3" xfId="0" applyNumberFormat="1" applyFont="1" applyFill="1" applyBorder="1" applyAlignment="1">
      <alignment vertical="center"/>
    </xf>
    <xf numFmtId="0" fontId="76" fillId="29" borderId="3" xfId="0" applyFont="1" applyFill="1" applyBorder="1" applyAlignment="1">
      <alignment vertical="center"/>
    </xf>
    <xf numFmtId="0" fontId="77" fillId="29" borderId="3" xfId="0" applyFont="1" applyFill="1" applyBorder="1" applyAlignment="1">
      <alignment vertical="center"/>
    </xf>
    <xf numFmtId="0" fontId="76" fillId="29" borderId="15" xfId="0" applyFont="1" applyFill="1" applyBorder="1" applyAlignment="1">
      <alignment vertical="center" wrapText="1"/>
    </xf>
    <xf numFmtId="49" fontId="80" fillId="29" borderId="3" xfId="0" applyNumberFormat="1" applyFont="1" applyFill="1" applyBorder="1" applyAlignment="1">
      <alignment horizontal="center" vertical="center"/>
    </xf>
    <xf numFmtId="0" fontId="77" fillId="29" borderId="15" xfId="0" applyFont="1" applyFill="1" applyBorder="1" applyAlignment="1">
      <alignment vertical="center" wrapText="1"/>
    </xf>
    <xf numFmtId="0" fontId="80" fillId="29" borderId="3" xfId="0" applyFont="1" applyFill="1" applyBorder="1" applyAlignment="1">
      <alignment horizontal="center" vertical="center" wrapText="1"/>
    </xf>
    <xf numFmtId="179" fontId="80" fillId="29" borderId="3" xfId="0" applyNumberFormat="1" applyFont="1" applyFill="1" applyBorder="1" applyAlignment="1">
      <alignment horizontal="center" vertical="center" wrapText="1"/>
    </xf>
    <xf numFmtId="0" fontId="81" fillId="29" borderId="3" xfId="0" applyFont="1" applyFill="1" applyBorder="1" applyAlignment="1">
      <alignment vertical="center"/>
    </xf>
    <xf numFmtId="0" fontId="77" fillId="29" borderId="3" xfId="0" applyFont="1" applyFill="1" applyBorder="1" applyAlignment="1">
      <alignment vertical="center" wrapText="1"/>
    </xf>
    <xf numFmtId="0" fontId="76" fillId="29" borderId="15" xfId="0" applyFont="1" applyFill="1" applyBorder="1" applyAlignment="1">
      <alignment vertical="center"/>
    </xf>
    <xf numFmtId="0" fontId="63" fillId="29" borderId="3" xfId="0" applyFont="1" applyFill="1" applyBorder="1" applyAlignment="1">
      <alignment vertical="center" wrapText="1"/>
    </xf>
    <xf numFmtId="0" fontId="63" fillId="29" borderId="3" xfId="0" applyFont="1" applyFill="1" applyBorder="1" applyAlignment="1">
      <alignment horizontal="center" vertical="center" wrapText="1"/>
    </xf>
    <xf numFmtId="0" fontId="77" fillId="29" borderId="15" xfId="0" applyFont="1" applyFill="1" applyBorder="1" applyAlignment="1">
      <alignment horizontal="left" vertical="center" wrapText="1"/>
    </xf>
    <xf numFmtId="0" fontId="65" fillId="29" borderId="15" xfId="0" applyFont="1" applyFill="1" applyBorder="1" applyAlignment="1">
      <alignment vertical="center" wrapText="1"/>
    </xf>
    <xf numFmtId="0" fontId="77" fillId="29" borderId="15" xfId="0" applyFont="1" applyFill="1" applyBorder="1" applyAlignment="1">
      <alignment vertical="center"/>
    </xf>
    <xf numFmtId="179" fontId="78" fillId="29" borderId="3" xfId="0" applyNumberFormat="1" applyFont="1" applyFill="1" applyBorder="1" applyAlignment="1">
      <alignment horizontal="center" vertical="center" wrapText="1"/>
    </xf>
    <xf numFmtId="0" fontId="77" fillId="29" borderId="3" xfId="0" applyFont="1" applyFill="1" applyBorder="1" applyAlignment="1">
      <alignment horizontal="left" vertical="center"/>
    </xf>
    <xf numFmtId="0" fontId="76" fillId="29" borderId="3" xfId="0" applyFont="1" applyFill="1" applyBorder="1" applyAlignment="1">
      <alignment vertical="center" wrapText="1"/>
    </xf>
    <xf numFmtId="49" fontId="81" fillId="29" borderId="3" xfId="0" applyNumberFormat="1" applyFont="1" applyFill="1" applyBorder="1" applyAlignment="1">
      <alignment horizontal="center" vertical="center"/>
    </xf>
    <xf numFmtId="0" fontId="63" fillId="29" borderId="3" xfId="0" applyFont="1" applyFill="1" applyBorder="1" applyAlignment="1">
      <alignment horizontal="left" vertical="center"/>
    </xf>
    <xf numFmtId="179" fontId="76" fillId="29" borderId="3" xfId="0" applyNumberFormat="1" applyFont="1" applyFill="1" applyBorder="1" applyAlignment="1">
      <alignment vertical="center"/>
    </xf>
    <xf numFmtId="49" fontId="63" fillId="29" borderId="3" xfId="0" applyNumberFormat="1" applyFont="1" applyFill="1" applyBorder="1" applyAlignment="1">
      <alignment horizontal="center" vertical="center"/>
    </xf>
    <xf numFmtId="0" fontId="77" fillId="29" borderId="13" xfId="0" applyFont="1" applyFill="1" applyBorder="1" applyAlignment="1">
      <alignment horizontal="left" vertical="center" wrapText="1"/>
    </xf>
    <xf numFmtId="179" fontId="77" fillId="29" borderId="3" xfId="0" applyNumberFormat="1" applyFont="1" applyFill="1" applyBorder="1" applyAlignment="1">
      <alignment vertical="center"/>
    </xf>
    <xf numFmtId="49" fontId="64" fillId="29" borderId="3" xfId="0" applyNumberFormat="1" applyFont="1" applyFill="1" applyBorder="1" applyAlignment="1">
      <alignment horizontal="center" vertical="center"/>
    </xf>
    <xf numFmtId="179" fontId="81" fillId="29" borderId="3" xfId="0" applyNumberFormat="1" applyFont="1" applyFill="1" applyBorder="1" applyAlignment="1">
      <alignment horizontal="center" vertical="center" wrapText="1"/>
    </xf>
    <xf numFmtId="49" fontId="82" fillId="29" borderId="3" xfId="0" applyNumberFormat="1" applyFont="1" applyFill="1" applyBorder="1" applyAlignment="1">
      <alignment horizontal="center" vertical="center"/>
    </xf>
    <xf numFmtId="0" fontId="81" fillId="29" borderId="3" xfId="0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left" vertical="center" wrapText="1"/>
    </xf>
    <xf numFmtId="0" fontId="65" fillId="29" borderId="3" xfId="0" applyFont="1" applyFill="1" applyBorder="1" applyAlignment="1">
      <alignment horizontal="left" vertical="center" wrapText="1"/>
    </xf>
    <xf numFmtId="0" fontId="65" fillId="29" borderId="3" xfId="0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left" vertical="center"/>
    </xf>
    <xf numFmtId="49" fontId="65" fillId="29" borderId="3" xfId="0" applyNumberFormat="1" applyFont="1" applyFill="1" applyBorder="1" applyAlignment="1">
      <alignment horizontal="center" vertical="center"/>
    </xf>
    <xf numFmtId="0" fontId="77" fillId="29" borderId="3" xfId="0" quotePrefix="1" applyFont="1" applyFill="1" applyBorder="1" applyAlignment="1">
      <alignment horizontal="center" vertical="center"/>
    </xf>
    <xf numFmtId="49" fontId="83" fillId="29" borderId="3" xfId="0" applyNumberFormat="1" applyFont="1" applyFill="1" applyBorder="1" applyAlignment="1">
      <alignment horizontal="center" vertical="center"/>
    </xf>
    <xf numFmtId="0" fontId="81" fillId="29" borderId="3" xfId="0" applyFont="1" applyFill="1" applyBorder="1" applyAlignment="1">
      <alignment horizontal="center" vertical="center"/>
    </xf>
    <xf numFmtId="170" fontId="77" fillId="29" borderId="3" xfId="0" applyNumberFormat="1" applyFont="1" applyFill="1" applyBorder="1" applyAlignment="1">
      <alignment horizontal="right" vertical="center" wrapText="1"/>
    </xf>
    <xf numFmtId="170" fontId="76" fillId="29" borderId="3" xfId="0" applyNumberFormat="1" applyFont="1" applyFill="1" applyBorder="1" applyAlignment="1">
      <alignment horizontal="right" vertical="center" wrapText="1"/>
    </xf>
    <xf numFmtId="0" fontId="77" fillId="29" borderId="16" xfId="0" applyFont="1" applyFill="1" applyBorder="1" applyAlignment="1">
      <alignment horizontal="left" vertical="center"/>
    </xf>
    <xf numFmtId="0" fontId="64" fillId="29" borderId="3" xfId="0" applyFont="1" applyFill="1" applyBorder="1" applyAlignment="1">
      <alignment horizontal="left" vertical="center"/>
    </xf>
    <xf numFmtId="0" fontId="81" fillId="29" borderId="16" xfId="0" applyFont="1" applyFill="1" applyBorder="1" applyAlignment="1">
      <alignment horizontal="left" vertical="center"/>
    </xf>
    <xf numFmtId="177" fontId="77" fillId="29" borderId="3" xfId="0" applyNumberFormat="1" applyFont="1" applyFill="1" applyBorder="1" applyAlignment="1">
      <alignment vertical="center"/>
    </xf>
    <xf numFmtId="177" fontId="77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/>
    <xf numFmtId="177" fontId="77" fillId="29" borderId="3" xfId="0" applyNumberFormat="1" applyFont="1" applyFill="1" applyBorder="1" applyAlignment="1">
      <alignment horizontal="center" vertical="center" wrapText="1"/>
    </xf>
    <xf numFmtId="179" fontId="77" fillId="29" borderId="3" xfId="0" applyNumberFormat="1" applyFont="1" applyFill="1" applyBorder="1" applyAlignment="1">
      <alignment wrapText="1"/>
    </xf>
    <xf numFmtId="0" fontId="76" fillId="29" borderId="3" xfId="0" quotePrefix="1" applyFont="1" applyFill="1" applyBorder="1" applyAlignment="1">
      <alignment horizontal="center" vertical="center"/>
    </xf>
    <xf numFmtId="49" fontId="84" fillId="29" borderId="3" xfId="0" applyNumberFormat="1" applyFont="1" applyFill="1" applyBorder="1" applyAlignment="1">
      <alignment horizontal="center" vertical="center"/>
    </xf>
    <xf numFmtId="179" fontId="77" fillId="29" borderId="15" xfId="0" applyNumberFormat="1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left" vertical="center"/>
    </xf>
    <xf numFmtId="179" fontId="82" fillId="29" borderId="3" xfId="0" applyNumberFormat="1" applyFont="1" applyFill="1" applyBorder="1" applyAlignment="1">
      <alignment horizontal="center" vertical="center" wrapText="1"/>
    </xf>
    <xf numFmtId="0" fontId="81" fillId="29" borderId="3" xfId="0" applyFont="1" applyFill="1" applyBorder="1" applyAlignment="1">
      <alignment horizontal="left" vertical="center" wrapText="1"/>
    </xf>
    <xf numFmtId="0" fontId="79" fillId="29" borderId="3" xfId="0" applyFont="1" applyFill="1" applyBorder="1" applyAlignment="1">
      <alignment vertical="center" wrapText="1"/>
    </xf>
    <xf numFmtId="0" fontId="65" fillId="29" borderId="3" xfId="0" applyFont="1" applyFill="1" applyBorder="1" applyAlignment="1">
      <alignment vertical="center"/>
    </xf>
    <xf numFmtId="0" fontId="65" fillId="29" borderId="3" xfId="0" applyFont="1" applyFill="1" applyBorder="1" applyAlignment="1">
      <alignment horizontal="center" vertical="center"/>
    </xf>
    <xf numFmtId="49" fontId="63" fillId="29" borderId="16" xfId="0" applyNumberFormat="1" applyFont="1" applyFill="1" applyBorder="1" applyAlignment="1">
      <alignment horizontal="center" vertical="center"/>
    </xf>
    <xf numFmtId="0" fontId="63" fillId="29" borderId="17" xfId="0" applyFont="1" applyFill="1" applyBorder="1" applyAlignment="1">
      <alignment horizontal="left" vertical="center" wrapText="1"/>
    </xf>
    <xf numFmtId="0" fontId="65" fillId="29" borderId="17" xfId="0" applyFont="1" applyFill="1" applyBorder="1" applyAlignment="1">
      <alignment horizontal="left" vertical="center" wrapText="1"/>
    </xf>
    <xf numFmtId="179" fontId="77" fillId="29" borderId="3" xfId="0" applyNumberFormat="1" applyFont="1" applyFill="1" applyBorder="1" applyAlignment="1">
      <alignment horizontal="right" vertical="center" wrapText="1"/>
    </xf>
    <xf numFmtId="0" fontId="77" fillId="29" borderId="15" xfId="0" applyFont="1" applyFill="1" applyBorder="1" applyAlignment="1">
      <alignment horizontal="center" vertical="center"/>
    </xf>
    <xf numFmtId="0" fontId="63" fillId="22" borderId="17" xfId="0" applyFont="1" applyFill="1" applyBorder="1" applyAlignment="1">
      <alignment horizontal="center" vertical="center" wrapText="1"/>
    </xf>
    <xf numFmtId="179" fontId="63" fillId="22" borderId="17" xfId="0" applyNumberFormat="1" applyFont="1" applyFill="1" applyBorder="1" applyAlignment="1">
      <alignment horizontal="center" vertical="center" wrapText="1"/>
    </xf>
    <xf numFmtId="0" fontId="77" fillId="29" borderId="24" xfId="0" applyFont="1" applyFill="1" applyBorder="1" applyAlignment="1">
      <alignment horizontal="left" vertical="center" wrapText="1"/>
    </xf>
    <xf numFmtId="0" fontId="77" fillId="29" borderId="16" xfId="0" applyFont="1" applyFill="1" applyBorder="1" applyAlignment="1">
      <alignment horizontal="center" vertical="center" wrapText="1"/>
    </xf>
    <xf numFmtId="0" fontId="77" fillId="29" borderId="19" xfId="0" applyFont="1" applyFill="1" applyBorder="1" applyAlignment="1">
      <alignment horizontal="center" vertical="center"/>
    </xf>
    <xf numFmtId="0" fontId="77" fillId="29" borderId="0" xfId="0" applyFont="1" applyFill="1" applyBorder="1" applyAlignment="1">
      <alignment vertical="center" wrapText="1"/>
    </xf>
    <xf numFmtId="0" fontId="77" fillId="29" borderId="3" xfId="0" applyFont="1" applyFill="1" applyBorder="1" applyAlignment="1">
      <alignment horizontal="right" vertical="center"/>
    </xf>
    <xf numFmtId="179" fontId="76" fillId="29" borderId="3" xfId="0" applyNumberFormat="1" applyFont="1" applyFill="1" applyBorder="1" applyAlignment="1">
      <alignment horizontal="right" vertical="center" wrapText="1"/>
    </xf>
    <xf numFmtId="0" fontId="76" fillId="29" borderId="15" xfId="0" applyFont="1" applyFill="1" applyBorder="1" applyAlignment="1">
      <alignment horizontal="center" vertical="center" wrapText="1"/>
    </xf>
    <xf numFmtId="0" fontId="77" fillId="29" borderId="3" xfId="0" applyFont="1" applyFill="1" applyBorder="1"/>
    <xf numFmtId="0" fontId="77" fillId="29" borderId="16" xfId="0" applyFont="1" applyFill="1" applyBorder="1" applyAlignment="1">
      <alignment horizontal="left" vertical="center" wrapText="1"/>
    </xf>
    <xf numFmtId="0" fontId="76" fillId="29" borderId="15" xfId="0" applyFont="1" applyFill="1" applyBorder="1" applyAlignment="1">
      <alignment horizontal="left" vertical="center" wrapText="1"/>
    </xf>
    <xf numFmtId="0" fontId="77" fillId="29" borderId="3" xfId="353" applyFont="1" applyFill="1" applyBorder="1" applyAlignment="1">
      <alignment vertical="center" wrapText="1"/>
    </xf>
    <xf numFmtId="179" fontId="65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vertical="top" wrapText="1"/>
    </xf>
    <xf numFmtId="0" fontId="77" fillId="29" borderId="3" xfId="0" applyFont="1" applyFill="1" applyBorder="1" applyAlignment="1">
      <alignment horizontal="right" vertical="center" wrapText="1"/>
    </xf>
    <xf numFmtId="0" fontId="77" fillId="29" borderId="3" xfId="0" applyFont="1" applyFill="1" applyBorder="1" applyAlignment="1">
      <alignment wrapText="1"/>
    </xf>
    <xf numFmtId="0" fontId="80" fillId="29" borderId="3" xfId="0" applyFont="1" applyFill="1" applyBorder="1" applyAlignment="1">
      <alignment horizontal="left" vertical="center" wrapText="1"/>
    </xf>
    <xf numFmtId="0" fontId="77" fillId="29" borderId="3" xfId="353" applyFont="1" applyFill="1" applyBorder="1" applyAlignment="1">
      <alignment horizontal="left" vertical="center" wrapText="1"/>
    </xf>
    <xf numFmtId="180" fontId="77" fillId="29" borderId="3" xfId="0" quotePrefix="1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horizontal="left" vertical="top" wrapText="1"/>
    </xf>
    <xf numFmtId="0" fontId="77" fillId="29" borderId="0" xfId="0" applyFont="1" applyFill="1" applyBorder="1" applyAlignment="1">
      <alignment vertical="center"/>
    </xf>
    <xf numFmtId="169" fontId="77" fillId="29" borderId="3" xfId="0" applyNumberFormat="1" applyFont="1" applyFill="1" applyBorder="1" applyAlignment="1">
      <alignment horizontal="right" vertical="center"/>
    </xf>
    <xf numFmtId="169" fontId="77" fillId="29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vertical="center"/>
    </xf>
    <xf numFmtId="0" fontId="78" fillId="29" borderId="3" xfId="0" quotePrefix="1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vertical="center"/>
    </xf>
    <xf numFmtId="0" fontId="62" fillId="29" borderId="0" xfId="0" applyFont="1" applyFill="1" applyAlignment="1">
      <alignment horizontal="left" vertical="center"/>
    </xf>
    <xf numFmtId="0" fontId="62" fillId="29" borderId="15" xfId="0" applyFont="1" applyFill="1" applyBorder="1" applyAlignment="1">
      <alignment horizontal="center" vertical="center" wrapText="1"/>
    </xf>
    <xf numFmtId="0" fontId="68" fillId="29" borderId="0" xfId="0" applyFont="1" applyFill="1" applyBorder="1" applyAlignment="1">
      <alignment vertical="center"/>
    </xf>
    <xf numFmtId="0" fontId="68" fillId="29" borderId="0" xfId="0" applyFont="1" applyFill="1" applyBorder="1" applyAlignment="1" applyProtection="1">
      <alignment horizontal="left" vertical="center"/>
      <protection locked="0"/>
    </xf>
    <xf numFmtId="170" fontId="68" fillId="29" borderId="0" xfId="0" applyNumberFormat="1" applyFont="1" applyFill="1" applyBorder="1" applyAlignment="1">
      <alignment horizontal="center" vertical="center" wrapText="1"/>
    </xf>
    <xf numFmtId="170" fontId="68" fillId="29" borderId="0" xfId="0" applyNumberFormat="1" applyFont="1" applyFill="1" applyBorder="1" applyAlignment="1">
      <alignment horizontal="right" vertical="center" wrapText="1"/>
    </xf>
    <xf numFmtId="170" fontId="62" fillId="29" borderId="0" xfId="0" applyNumberFormat="1" applyFont="1" applyFill="1" applyBorder="1" applyAlignment="1">
      <alignment horizontal="center" vertical="center" wrapText="1"/>
    </xf>
    <xf numFmtId="0" fontId="62" fillId="29" borderId="0" xfId="0" quotePrefix="1" applyFont="1" applyFill="1" applyBorder="1" applyAlignment="1">
      <alignment horizontal="center" vertical="center"/>
    </xf>
    <xf numFmtId="170" fontId="67" fillId="29" borderId="0" xfId="0" applyNumberFormat="1" applyFont="1" applyFill="1" applyBorder="1" applyAlignment="1">
      <alignment vertical="center"/>
    </xf>
    <xf numFmtId="0" fontId="62" fillId="29" borderId="0" xfId="0" applyFont="1" applyFill="1" applyBorder="1" applyAlignment="1">
      <alignment vertical="center" wrapText="1"/>
    </xf>
    <xf numFmtId="0" fontId="82" fillId="29" borderId="0" xfId="0" applyFont="1" applyFill="1" applyBorder="1" applyAlignment="1">
      <alignment vertical="center"/>
    </xf>
    <xf numFmtId="179" fontId="82" fillId="29" borderId="0" xfId="0" applyNumberFormat="1" applyFont="1" applyFill="1" applyBorder="1" applyAlignment="1">
      <alignment vertical="center"/>
    </xf>
    <xf numFmtId="179" fontId="80" fillId="29" borderId="0" xfId="0" applyNumberFormat="1" applyFont="1" applyFill="1" applyBorder="1" applyAlignment="1">
      <alignment vertical="center"/>
    </xf>
    <xf numFmtId="0" fontId="64" fillId="29" borderId="0" xfId="0" applyFont="1" applyFill="1" applyBorder="1" applyAlignment="1">
      <alignment vertical="center"/>
    </xf>
    <xf numFmtId="179" fontId="64" fillId="29" borderId="0" xfId="0" applyNumberFormat="1" applyFont="1" applyFill="1" applyBorder="1" applyAlignment="1">
      <alignment vertical="center"/>
    </xf>
    <xf numFmtId="179" fontId="77" fillId="29" borderId="0" xfId="0" applyNumberFormat="1" applyFont="1" applyFill="1" applyBorder="1" applyAlignment="1">
      <alignment vertical="center"/>
    </xf>
    <xf numFmtId="177" fontId="64" fillId="29" borderId="0" xfId="0" applyNumberFormat="1" applyFont="1" applyFill="1" applyBorder="1" applyAlignment="1">
      <alignment vertical="center"/>
    </xf>
    <xf numFmtId="0" fontId="80" fillId="29" borderId="0" xfId="0" applyFont="1" applyFill="1" applyBorder="1" applyAlignment="1">
      <alignment vertical="center"/>
    </xf>
    <xf numFmtId="179" fontId="81" fillId="29" borderId="0" xfId="0" applyNumberFormat="1" applyFont="1" applyFill="1" applyBorder="1" applyAlignment="1">
      <alignment vertical="center"/>
    </xf>
    <xf numFmtId="4" fontId="77" fillId="29" borderId="0" xfId="0" applyNumberFormat="1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left" vertical="center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179" fontId="64" fillId="29" borderId="0" xfId="0" applyNumberFormat="1" applyFont="1" applyFill="1" applyBorder="1" applyAlignment="1">
      <alignment vertical="center" wrapText="1"/>
    </xf>
    <xf numFmtId="179" fontId="64" fillId="29" borderId="0" xfId="0" applyNumberFormat="1" applyFont="1" applyFill="1" applyBorder="1" applyAlignment="1">
      <alignment horizontal="center" vertical="center" wrapText="1"/>
    </xf>
    <xf numFmtId="179" fontId="64" fillId="29" borderId="0" xfId="0" applyNumberFormat="1" applyFont="1" applyFill="1" applyBorder="1" applyAlignment="1">
      <alignment horizontal="center" vertical="center"/>
    </xf>
    <xf numFmtId="0" fontId="80" fillId="29" borderId="3" xfId="0" applyFont="1" applyFill="1" applyBorder="1" applyAlignment="1">
      <alignment vertical="center" wrapText="1"/>
    </xf>
    <xf numFmtId="0" fontId="80" fillId="29" borderId="3" xfId="0" applyFont="1" applyFill="1" applyBorder="1" applyAlignment="1">
      <alignment horizontal="left" vertical="center"/>
    </xf>
    <xf numFmtId="0" fontId="80" fillId="29" borderId="3" xfId="0" applyFont="1" applyFill="1" applyBorder="1" applyAlignment="1">
      <alignment horizontal="center" vertical="center"/>
    </xf>
    <xf numFmtId="0" fontId="80" fillId="29" borderId="14" xfId="0" applyFont="1" applyFill="1" applyBorder="1" applyAlignment="1">
      <alignment horizontal="left" vertical="center"/>
    </xf>
    <xf numFmtId="0" fontId="82" fillId="29" borderId="3" xfId="0" applyFont="1" applyFill="1" applyBorder="1" applyAlignment="1">
      <alignment horizontal="left" vertical="center"/>
    </xf>
    <xf numFmtId="0" fontId="82" fillId="29" borderId="3" xfId="0" applyFont="1" applyFill="1" applyBorder="1" applyAlignment="1">
      <alignment horizontal="center" vertical="center" wrapText="1"/>
    </xf>
    <xf numFmtId="49" fontId="82" fillId="29" borderId="16" xfId="0" applyNumberFormat="1" applyFont="1" applyFill="1" applyBorder="1" applyAlignment="1">
      <alignment horizontal="center" vertical="center"/>
    </xf>
    <xf numFmtId="0" fontId="82" fillId="29" borderId="17" xfId="0" applyFont="1" applyFill="1" applyBorder="1" applyAlignment="1">
      <alignment horizontal="left" vertical="center" wrapText="1"/>
    </xf>
    <xf numFmtId="0" fontId="63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 wrapText="1"/>
    </xf>
    <xf numFmtId="0" fontId="65" fillId="29" borderId="17" xfId="0" applyFont="1" applyFill="1" applyBorder="1" applyAlignment="1">
      <alignment horizontal="center" vertical="center"/>
    </xf>
    <xf numFmtId="0" fontId="65" fillId="29" borderId="17" xfId="0" applyFont="1" applyFill="1" applyBorder="1" applyAlignment="1">
      <alignment horizontal="center" vertical="center" wrapText="1"/>
    </xf>
    <xf numFmtId="0" fontId="82" fillId="29" borderId="3" xfId="0" applyFont="1" applyFill="1" applyBorder="1" applyAlignment="1">
      <alignment horizontal="left" vertical="center" wrapText="1"/>
    </xf>
    <xf numFmtId="0" fontId="82" fillId="29" borderId="3" xfId="0" applyFont="1" applyFill="1" applyBorder="1" applyAlignment="1">
      <alignment vertical="center" wrapText="1"/>
    </xf>
    <xf numFmtId="0" fontId="63" fillId="29" borderId="3" xfId="0" applyFont="1" applyFill="1" applyBorder="1" applyAlignment="1">
      <alignment horizontal="center" vertical="center"/>
    </xf>
    <xf numFmtId="0" fontId="63" fillId="29" borderId="16" xfId="0" applyFont="1" applyFill="1" applyBorder="1" applyAlignment="1">
      <alignment horizontal="left" vertical="center"/>
    </xf>
    <xf numFmtId="0" fontId="65" fillId="29" borderId="16" xfId="0" applyFont="1" applyFill="1" applyBorder="1" applyAlignment="1">
      <alignment horizontal="left" vertical="center"/>
    </xf>
    <xf numFmtId="0" fontId="76" fillId="29" borderId="24" xfId="0" applyFont="1" applyFill="1" applyBorder="1" applyAlignment="1">
      <alignment horizontal="left" vertical="center" wrapText="1"/>
    </xf>
    <xf numFmtId="0" fontId="63" fillId="29" borderId="18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left" vertical="center" wrapText="1"/>
    </xf>
    <xf numFmtId="170" fontId="65" fillId="29" borderId="0" xfId="0" applyNumberFormat="1" applyFont="1" applyFill="1" applyBorder="1" applyAlignment="1">
      <alignment horizontal="right" vertical="center" wrapText="1"/>
    </xf>
    <xf numFmtId="0" fontId="63" fillId="29" borderId="0" xfId="0" applyFont="1" applyFill="1" applyBorder="1" applyAlignment="1">
      <alignment vertical="center"/>
    </xf>
    <xf numFmtId="0" fontId="65" fillId="29" borderId="0" xfId="0" applyFont="1" applyFill="1" applyBorder="1" applyAlignment="1">
      <alignment vertical="center" wrapText="1"/>
    </xf>
    <xf numFmtId="179" fontId="87" fillId="29" borderId="15" xfId="0" applyNumberFormat="1" applyFont="1" applyFill="1" applyBorder="1" applyAlignment="1">
      <alignment horizontal="center" vertical="center" wrapText="1"/>
    </xf>
    <xf numFmtId="179" fontId="87" fillId="29" borderId="3" xfId="0" applyNumberFormat="1" applyFont="1" applyFill="1" applyBorder="1" applyAlignment="1">
      <alignment horizontal="center" vertical="center" wrapText="1"/>
    </xf>
    <xf numFmtId="179" fontId="88" fillId="29" borderId="15" xfId="0" applyNumberFormat="1" applyFont="1" applyFill="1" applyBorder="1" applyAlignment="1">
      <alignment horizontal="center" vertical="center" wrapText="1"/>
    </xf>
    <xf numFmtId="179" fontId="88" fillId="29" borderId="3" xfId="0" applyNumberFormat="1" applyFont="1" applyFill="1" applyBorder="1" applyAlignment="1">
      <alignment horizontal="center" vertical="center" wrapText="1"/>
    </xf>
    <xf numFmtId="177" fontId="87" fillId="29" borderId="3" xfId="0" applyNumberFormat="1" applyFont="1" applyFill="1" applyBorder="1" applyAlignment="1">
      <alignment horizontal="center" vertical="center" wrapText="1"/>
    </xf>
    <xf numFmtId="177" fontId="88" fillId="29" borderId="3" xfId="0" applyNumberFormat="1" applyFont="1" applyFill="1" applyBorder="1" applyAlignment="1">
      <alignment horizontal="center" vertical="center" wrapText="1"/>
    </xf>
    <xf numFmtId="177" fontId="62" fillId="29" borderId="3" xfId="0" applyNumberFormat="1" applyFont="1" applyFill="1" applyBorder="1" applyAlignment="1">
      <alignment horizontal="right" vertical="center" wrapText="1"/>
    </xf>
    <xf numFmtId="177" fontId="68" fillId="29" borderId="3" xfId="0" applyNumberFormat="1" applyFont="1" applyFill="1" applyBorder="1" applyAlignment="1">
      <alignment horizontal="right" vertical="center" wrapText="1"/>
    </xf>
    <xf numFmtId="178" fontId="62" fillId="29" borderId="3" xfId="0" applyNumberFormat="1" applyFont="1" applyFill="1" applyBorder="1" applyAlignment="1">
      <alignment horizontal="right" vertical="center" wrapText="1"/>
    </xf>
    <xf numFmtId="180" fontId="63" fillId="22" borderId="3" xfId="0" applyNumberFormat="1" applyFont="1" applyFill="1" applyBorder="1" applyAlignment="1">
      <alignment horizontal="center" vertical="center" wrapText="1"/>
    </xf>
    <xf numFmtId="177" fontId="63" fillId="0" borderId="3" xfId="0" applyNumberFormat="1" applyFont="1" applyFill="1" applyBorder="1" applyAlignment="1">
      <alignment horizontal="center" vertical="center"/>
    </xf>
    <xf numFmtId="177" fontId="65" fillId="0" borderId="3" xfId="0" applyNumberFormat="1" applyFont="1" applyFill="1" applyBorder="1" applyAlignment="1">
      <alignment horizontal="center" vertical="center"/>
    </xf>
    <xf numFmtId="180" fontId="63" fillId="29" borderId="3" xfId="0" applyNumberFormat="1" applyFont="1" applyFill="1" applyBorder="1" applyAlignment="1">
      <alignment horizontal="center" vertical="center" wrapText="1"/>
    </xf>
    <xf numFmtId="177" fontId="77" fillId="29" borderId="3" xfId="0" applyNumberFormat="1" applyFont="1" applyFill="1" applyBorder="1" applyAlignment="1">
      <alignment horizontal="right" vertical="center"/>
    </xf>
    <xf numFmtId="177" fontId="65" fillId="29" borderId="3" xfId="0" applyNumberFormat="1" applyFont="1" applyFill="1" applyBorder="1" applyAlignment="1">
      <alignment horizontal="center" vertical="center" wrapText="1"/>
    </xf>
    <xf numFmtId="177" fontId="63" fillId="29" borderId="3" xfId="0" applyNumberFormat="1" applyFont="1" applyFill="1" applyBorder="1" applyAlignment="1">
      <alignment horizontal="center" vertical="center"/>
    </xf>
    <xf numFmtId="177" fontId="65" fillId="29" borderId="3" xfId="0" applyNumberFormat="1" applyFont="1" applyFill="1" applyBorder="1" applyAlignment="1">
      <alignment horizontal="center" vertical="center"/>
    </xf>
    <xf numFmtId="177" fontId="82" fillId="29" borderId="3" xfId="0" applyNumberFormat="1" applyFont="1" applyFill="1" applyBorder="1" applyAlignment="1">
      <alignment horizontal="center" vertical="center"/>
    </xf>
    <xf numFmtId="169" fontId="77" fillId="29" borderId="3" xfId="0" applyNumberFormat="1" applyFont="1" applyFill="1" applyBorder="1" applyAlignment="1">
      <alignment vertical="center"/>
    </xf>
    <xf numFmtId="179" fontId="63" fillId="29" borderId="3" xfId="0" applyNumberFormat="1" applyFont="1" applyFill="1" applyBorder="1" applyAlignment="1">
      <alignment vertical="center"/>
    </xf>
    <xf numFmtId="0" fontId="82" fillId="22" borderId="3" xfId="0" applyFont="1" applyFill="1" applyBorder="1" applyAlignment="1">
      <alignment horizontal="center" vertical="center" wrapText="1"/>
    </xf>
    <xf numFmtId="179" fontId="82" fillId="29" borderId="3" xfId="0" applyNumberFormat="1" applyFont="1" applyFill="1" applyBorder="1" applyAlignment="1">
      <alignment vertical="center"/>
    </xf>
    <xf numFmtId="0" fontId="82" fillId="22" borderId="3" xfId="0" quotePrefix="1" applyFont="1" applyFill="1" applyBorder="1" applyAlignment="1">
      <alignment horizontal="center" vertical="center"/>
    </xf>
    <xf numFmtId="0" fontId="82" fillId="22" borderId="3" xfId="0" applyFont="1" applyFill="1" applyBorder="1" applyAlignment="1">
      <alignment horizontal="left" vertical="center" wrapText="1"/>
    </xf>
    <xf numFmtId="0" fontId="82" fillId="0" borderId="3" xfId="0" applyFont="1" applyBorder="1" applyAlignment="1">
      <alignment horizontal="left" vertical="center" wrapText="1"/>
    </xf>
    <xf numFmtId="0" fontId="62" fillId="0" borderId="3" xfId="0" applyFont="1" applyFill="1" applyBorder="1" applyAlignment="1">
      <alignment horizontal="center" vertical="center" wrapText="1"/>
    </xf>
    <xf numFmtId="0" fontId="79" fillId="29" borderId="0" xfId="0" applyFont="1" applyFill="1" applyBorder="1" applyAlignment="1"/>
    <xf numFmtId="0" fontId="62" fillId="30" borderId="0" xfId="0" applyFont="1" applyFill="1" applyAlignment="1">
      <alignment vertical="center"/>
    </xf>
    <xf numFmtId="0" fontId="68" fillId="30" borderId="0" xfId="0" applyFont="1" applyFill="1" applyBorder="1" applyAlignment="1">
      <alignment horizontal="left" vertical="center"/>
    </xf>
    <xf numFmtId="0" fontId="62" fillId="30" borderId="0" xfId="0" applyFont="1" applyFill="1" applyAlignment="1">
      <alignment horizontal="center" vertical="center"/>
    </xf>
    <xf numFmtId="0" fontId="62" fillId="30" borderId="0" xfId="0" applyFont="1" applyFill="1" applyAlignment="1">
      <alignment horizontal="left" vertical="center"/>
    </xf>
    <xf numFmtId="0" fontId="62" fillId="30" borderId="0" xfId="0" applyFont="1" applyFill="1" applyAlignment="1"/>
    <xf numFmtId="0" fontId="62" fillId="30" borderId="0" xfId="0" applyFont="1" applyFill="1" applyAlignment="1">
      <alignment horizontal="left" vertical="center" wrapText="1" shrinkToFit="1"/>
    </xf>
    <xf numFmtId="0" fontId="62" fillId="30" borderId="0" xfId="0" applyFont="1" applyFill="1" applyAlignment="1">
      <alignment vertical="center" wrapText="1" shrinkToFit="1"/>
    </xf>
    <xf numFmtId="0" fontId="74" fillId="30" borderId="0" xfId="0" applyFont="1" applyFill="1" applyAlignment="1">
      <alignment horizontal="left" vertical="center"/>
    </xf>
    <xf numFmtId="179" fontId="77" fillId="31" borderId="3" xfId="0" applyNumberFormat="1" applyFont="1" applyFill="1" applyBorder="1" applyAlignment="1">
      <alignment horizontal="center" vertical="center" wrapText="1"/>
    </xf>
    <xf numFmtId="179" fontId="68" fillId="0" borderId="3" xfId="0" applyNumberFormat="1" applyFont="1" applyFill="1" applyBorder="1" applyAlignment="1">
      <alignment horizontal="center" vertical="center" wrapText="1"/>
    </xf>
    <xf numFmtId="179" fontId="62" fillId="0" borderId="3" xfId="0" applyNumberFormat="1" applyFont="1" applyFill="1" applyBorder="1" applyAlignment="1">
      <alignment horizontal="center" vertical="center" wrapText="1"/>
    </xf>
    <xf numFmtId="179" fontId="62" fillId="0" borderId="3" xfId="0" applyNumberFormat="1" applyFont="1" applyFill="1" applyBorder="1" applyAlignment="1">
      <alignment horizontal="center" vertical="center"/>
    </xf>
    <xf numFmtId="0" fontId="62" fillId="0" borderId="3" xfId="0" applyFont="1" applyFill="1" applyBorder="1" applyAlignment="1">
      <alignment horizontal="left" vertical="center" wrapText="1"/>
    </xf>
    <xf numFmtId="170" fontId="86" fillId="0" borderId="3" xfId="0" applyNumberFormat="1" applyFont="1" applyFill="1" applyBorder="1" applyAlignment="1">
      <alignment horizontal="right" vertical="center" wrapText="1"/>
    </xf>
    <xf numFmtId="179" fontId="86" fillId="0" borderId="3" xfId="0" applyNumberFormat="1" applyFont="1" applyFill="1" applyBorder="1" applyAlignment="1">
      <alignment horizontal="center" vertical="center" wrapText="1"/>
    </xf>
    <xf numFmtId="177" fontId="86" fillId="0" borderId="3" xfId="0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left" vertical="center" wrapText="1"/>
    </xf>
    <xf numFmtId="0" fontId="68" fillId="0" borderId="3" xfId="0" applyFont="1" applyFill="1" applyBorder="1" applyAlignment="1">
      <alignment horizontal="center" vertical="center" wrapText="1"/>
    </xf>
    <xf numFmtId="179" fontId="79" fillId="0" borderId="3" xfId="0" applyNumberFormat="1" applyFont="1" applyFill="1" applyBorder="1" applyAlignment="1">
      <alignment horizontal="center" vertical="center" wrapText="1"/>
    </xf>
    <xf numFmtId="177" fontId="79" fillId="0" borderId="3" xfId="0" applyNumberFormat="1" applyFont="1" applyFill="1" applyBorder="1" applyAlignment="1">
      <alignment horizontal="center" vertical="center" wrapText="1"/>
    </xf>
    <xf numFmtId="177" fontId="68" fillId="0" borderId="3" xfId="0" applyNumberFormat="1" applyFont="1" applyFill="1" applyBorder="1" applyAlignment="1">
      <alignment horizontal="center" vertical="center" wrapText="1"/>
    </xf>
    <xf numFmtId="0" fontId="68" fillId="0" borderId="3" xfId="245" applyFont="1" applyFill="1" applyBorder="1" applyAlignment="1">
      <alignment horizontal="left" vertical="center" wrapText="1"/>
    </xf>
    <xf numFmtId="0" fontId="68" fillId="0" borderId="3" xfId="0" applyFont="1" applyFill="1" applyBorder="1" applyAlignment="1">
      <alignment horizontal="center" vertical="center"/>
    </xf>
    <xf numFmtId="0" fontId="62" fillId="0" borderId="3" xfId="0" applyFont="1" applyFill="1" applyBorder="1" applyAlignment="1">
      <alignment horizontal="center" vertical="center"/>
    </xf>
    <xf numFmtId="179" fontId="87" fillId="0" borderId="3" xfId="0" applyNumberFormat="1" applyFont="1" applyFill="1" applyBorder="1" applyAlignment="1">
      <alignment horizontal="center" vertical="center" wrapText="1"/>
    </xf>
    <xf numFmtId="0" fontId="62" fillId="0" borderId="3" xfId="245" applyFont="1" applyFill="1" applyBorder="1" applyAlignment="1">
      <alignment horizontal="left" vertical="center" wrapText="1"/>
    </xf>
    <xf numFmtId="0" fontId="68" fillId="0" borderId="3" xfId="0" applyFont="1" applyFill="1" applyBorder="1" applyAlignment="1" applyProtection="1">
      <alignment horizontal="left" vertical="center" wrapText="1"/>
      <protection locked="0"/>
    </xf>
    <xf numFmtId="177" fontId="62" fillId="0" borderId="17" xfId="0" applyNumberFormat="1" applyFont="1" applyFill="1" applyBorder="1" applyAlignment="1">
      <alignment horizontal="center" vertical="center" wrapText="1"/>
    </xf>
    <xf numFmtId="177" fontId="68" fillId="0" borderId="17" xfId="0" applyNumberFormat="1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center" vertical="center"/>
    </xf>
    <xf numFmtId="0" fontId="62" fillId="0" borderId="0" xfId="0" applyFont="1" applyFill="1" applyBorder="1" applyAlignment="1">
      <alignment horizontal="left" vertical="center"/>
    </xf>
    <xf numFmtId="0" fontId="62" fillId="0" borderId="0" xfId="0" applyFont="1" applyFill="1" applyAlignment="1">
      <alignment horizontal="right" vertical="center"/>
    </xf>
    <xf numFmtId="0" fontId="62" fillId="0" borderId="0" xfId="0" applyFont="1" applyFill="1" applyAlignment="1">
      <alignment vertical="center"/>
    </xf>
    <xf numFmtId="0" fontId="68" fillId="0" borderId="0" xfId="0" applyFont="1" applyFill="1" applyBorder="1" applyAlignment="1">
      <alignment horizontal="left" vertical="center"/>
    </xf>
    <xf numFmtId="0" fontId="62" fillId="0" borderId="13" xfId="0" applyFont="1" applyFill="1" applyBorder="1" applyAlignment="1">
      <alignment vertical="center"/>
    </xf>
    <xf numFmtId="0" fontId="62" fillId="0" borderId="13" xfId="0" applyFont="1" applyFill="1" applyBorder="1" applyAlignment="1">
      <alignment horizontal="left" vertical="center"/>
    </xf>
    <xf numFmtId="0" fontId="62" fillId="0" borderId="13" xfId="0" applyFont="1" applyFill="1" applyBorder="1" applyAlignment="1">
      <alignment horizontal="center" vertical="center"/>
    </xf>
    <xf numFmtId="0" fontId="65" fillId="0" borderId="17" xfId="0" applyFont="1" applyFill="1" applyBorder="1" applyAlignment="1">
      <alignment horizontal="center" vertical="center" wrapText="1"/>
    </xf>
    <xf numFmtId="0" fontId="62" fillId="0" borderId="15" xfId="0" applyFont="1" applyFill="1" applyBorder="1" applyAlignment="1">
      <alignment horizontal="left" vertical="center" wrapText="1"/>
    </xf>
    <xf numFmtId="0" fontId="62" fillId="0" borderId="14" xfId="0" applyFont="1" applyFill="1" applyBorder="1" applyAlignment="1">
      <alignment horizontal="left" vertical="center" wrapText="1"/>
    </xf>
    <xf numFmtId="0" fontId="62" fillId="0" borderId="16" xfId="0" applyFont="1" applyFill="1" applyBorder="1" applyAlignment="1">
      <alignment horizontal="left" vertical="center" wrapText="1"/>
    </xf>
    <xf numFmtId="0" fontId="62" fillId="0" borderId="0" xfId="0" applyFont="1" applyFill="1" applyBorder="1" applyAlignment="1">
      <alignment horizontal="center" vertical="center" wrapText="1"/>
    </xf>
    <xf numFmtId="0" fontId="62" fillId="0" borderId="0" xfId="0" applyFont="1" applyFill="1" applyBorder="1" applyAlignment="1">
      <alignment horizontal="left" vertical="center" wrapText="1"/>
    </xf>
    <xf numFmtId="169" fontId="62" fillId="0" borderId="0" xfId="0" applyNumberFormat="1" applyFont="1" applyFill="1" applyBorder="1" applyAlignment="1">
      <alignment horizontal="left" vertical="center" wrapText="1"/>
    </xf>
    <xf numFmtId="169" fontId="62" fillId="0" borderId="0" xfId="0" applyNumberFormat="1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right" vertical="center"/>
    </xf>
    <xf numFmtId="169" fontId="68" fillId="0" borderId="0" xfId="0" applyNumberFormat="1" applyFont="1" applyFill="1" applyBorder="1" applyAlignment="1">
      <alignment horizontal="left" vertical="center"/>
    </xf>
    <xf numFmtId="169" fontId="68" fillId="0" borderId="0" xfId="0" applyNumberFormat="1" applyFont="1" applyFill="1" applyBorder="1" applyAlignment="1">
      <alignment horizontal="right" vertical="center"/>
    </xf>
    <xf numFmtId="0" fontId="62" fillId="0" borderId="0" xfId="0" applyFont="1" applyFill="1" applyAlignment="1">
      <alignment horizontal="center" vertical="center"/>
    </xf>
    <xf numFmtId="0" fontId="62" fillId="0" borderId="0" xfId="0" applyFont="1" applyFill="1" applyAlignment="1">
      <alignment horizontal="left" vertical="center"/>
    </xf>
    <xf numFmtId="0" fontId="62" fillId="0" borderId="0" xfId="0" applyFont="1" applyFill="1" applyAlignment="1"/>
    <xf numFmtId="0" fontId="62" fillId="0" borderId="0" xfId="0" applyFont="1" applyFill="1" applyBorder="1" applyAlignment="1">
      <alignment horizontal="center"/>
    </xf>
    <xf numFmtId="0" fontId="62" fillId="0" borderId="0" xfId="0" applyFont="1" applyFill="1" applyBorder="1" applyAlignment="1"/>
    <xf numFmtId="0" fontId="67" fillId="0" borderId="0" xfId="0" applyFont="1" applyFill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0" fontId="62" fillId="0" borderId="0" xfId="0" applyFont="1" applyFill="1" applyAlignment="1">
      <alignment horizontal="left" vertical="center" wrapText="1" shrinkToFit="1"/>
    </xf>
    <xf numFmtId="0" fontId="62" fillId="0" borderId="0" xfId="0" applyFont="1" applyFill="1" applyAlignment="1">
      <alignment vertical="center" wrapText="1" shrinkToFit="1"/>
    </xf>
    <xf numFmtId="0" fontId="62" fillId="0" borderId="0" xfId="0" applyFont="1" applyFill="1" applyBorder="1" applyAlignment="1">
      <alignment vertical="center" wrapText="1" shrinkToFit="1"/>
    </xf>
    <xf numFmtId="0" fontId="79" fillId="29" borderId="13" xfId="0" applyFont="1" applyFill="1" applyBorder="1" applyAlignment="1">
      <alignment horizontal="center"/>
    </xf>
    <xf numFmtId="0" fontId="66" fillId="29" borderId="0" xfId="0" applyFont="1" applyFill="1" applyBorder="1" applyAlignment="1">
      <alignment horizontal="center" vertical="center"/>
    </xf>
    <xf numFmtId="0" fontId="66" fillId="29" borderId="0" xfId="0" applyFont="1" applyFill="1" applyBorder="1" applyAlignment="1">
      <alignment horizontal="center" vertical="center" wrapText="1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center" vertical="center"/>
    </xf>
    <xf numFmtId="170" fontId="62" fillId="29" borderId="0" xfId="0" applyNumberFormat="1" applyFont="1" applyFill="1" applyBorder="1" applyAlignment="1">
      <alignment horizontal="center" vertical="center" wrapText="1"/>
    </xf>
    <xf numFmtId="170" fontId="62" fillId="29" borderId="0" xfId="0" quotePrefix="1" applyNumberFormat="1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/>
    </xf>
    <xf numFmtId="0" fontId="66" fillId="29" borderId="18" xfId="0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center" vertical="center"/>
    </xf>
    <xf numFmtId="0" fontId="66" fillId="29" borderId="23" xfId="0" applyFont="1" applyFill="1" applyBorder="1" applyAlignment="1" applyProtection="1">
      <alignment horizontal="center"/>
      <protection locked="0"/>
    </xf>
    <xf numFmtId="0" fontId="66" fillId="29" borderId="13" xfId="0" applyFont="1" applyFill="1" applyBorder="1" applyAlignment="1" applyProtection="1">
      <alignment horizontal="center"/>
      <protection locked="0"/>
    </xf>
    <xf numFmtId="0" fontId="62" fillId="29" borderId="17" xfId="0" applyFont="1" applyFill="1" applyBorder="1" applyAlignment="1">
      <alignment horizontal="center" vertical="center"/>
    </xf>
    <xf numFmtId="0" fontId="62" fillId="29" borderId="18" xfId="0" applyFont="1" applyFill="1" applyBorder="1" applyAlignment="1">
      <alignment horizontal="center" vertical="center"/>
    </xf>
    <xf numFmtId="0" fontId="62" fillId="29" borderId="17" xfId="0" applyFont="1" applyFill="1" applyBorder="1" applyAlignment="1">
      <alignment horizontal="center" vertical="center" wrapText="1"/>
    </xf>
    <xf numFmtId="0" fontId="62" fillId="29" borderId="18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 wrapText="1"/>
    </xf>
    <xf numFmtId="0" fontId="62" fillId="29" borderId="15" xfId="0" applyFont="1" applyFill="1" applyBorder="1" applyAlignment="1">
      <alignment horizontal="center" vertical="center"/>
    </xf>
    <xf numFmtId="0" fontId="62" fillId="29" borderId="14" xfId="0" applyFont="1" applyFill="1" applyBorder="1" applyAlignment="1">
      <alignment horizontal="center" vertical="center"/>
    </xf>
    <xf numFmtId="0" fontId="62" fillId="29" borderId="16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/>
    </xf>
    <xf numFmtId="0" fontId="63" fillId="22" borderId="15" xfId="0" applyFont="1" applyFill="1" applyBorder="1" applyAlignment="1">
      <alignment horizontal="left" vertical="center" wrapText="1"/>
    </xf>
    <xf numFmtId="0" fontId="63" fillId="22" borderId="16" xfId="0" applyFont="1" applyFill="1" applyBorder="1" applyAlignment="1">
      <alignment horizontal="left" vertical="center" wrapText="1"/>
    </xf>
    <xf numFmtId="0" fontId="89" fillId="29" borderId="0" xfId="0" applyFont="1" applyFill="1" applyBorder="1" applyAlignment="1">
      <alignment horizontal="center"/>
    </xf>
    <xf numFmtId="0" fontId="68" fillId="0" borderId="0" xfId="0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right" wrapText="1"/>
    </xf>
    <xf numFmtId="0" fontId="65" fillId="29" borderId="0" xfId="0" applyFont="1" applyFill="1" applyBorder="1" applyAlignment="1">
      <alignment horizontal="left" vertical="center"/>
    </xf>
    <xf numFmtId="0" fontId="63" fillId="0" borderId="15" xfId="0" applyFont="1" applyFill="1" applyBorder="1" applyAlignment="1">
      <alignment horizontal="center" vertical="center"/>
    </xf>
    <xf numFmtId="0" fontId="63" fillId="0" borderId="16" xfId="0" applyFont="1" applyFill="1" applyBorder="1" applyAlignment="1">
      <alignment horizontal="center" vertical="center"/>
    </xf>
    <xf numFmtId="0" fontId="63" fillId="22" borderId="15" xfId="0" applyFont="1" applyFill="1" applyBorder="1" applyAlignment="1">
      <alignment horizontal="center" vertical="center"/>
    </xf>
    <xf numFmtId="0" fontId="63" fillId="22" borderId="16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left" vertical="center"/>
    </xf>
    <xf numFmtId="0" fontId="65" fillId="0" borderId="3" xfId="0" applyFont="1" applyFill="1" applyBorder="1" applyAlignment="1">
      <alignment vertical="center"/>
    </xf>
    <xf numFmtId="0" fontId="63" fillId="0" borderId="15" xfId="0" applyFont="1" applyFill="1" applyBorder="1" applyAlignment="1">
      <alignment horizontal="left" vertical="center"/>
    </xf>
    <xf numFmtId="0" fontId="63" fillId="0" borderId="16" xfId="0" applyFont="1" applyFill="1" applyBorder="1" applyAlignment="1">
      <alignment horizontal="left" vertical="center"/>
    </xf>
    <xf numFmtId="0" fontId="76" fillId="29" borderId="15" xfId="0" applyFont="1" applyFill="1" applyBorder="1" applyAlignment="1">
      <alignment horizontal="left" vertical="center" wrapText="1"/>
    </xf>
    <xf numFmtId="0" fontId="76" fillId="29" borderId="16" xfId="0" applyFont="1" applyFill="1" applyBorder="1" applyAlignment="1">
      <alignment horizontal="left" vertical="center" wrapText="1"/>
    </xf>
    <xf numFmtId="170" fontId="65" fillId="29" borderId="0" xfId="0" applyNumberFormat="1" applyFont="1" applyFill="1" applyBorder="1" applyAlignment="1">
      <alignment horizontal="left" vertical="center" wrapText="1"/>
    </xf>
    <xf numFmtId="0" fontId="63" fillId="29" borderId="0" xfId="0" applyFont="1" applyFill="1" applyBorder="1" applyAlignment="1">
      <alignment horizontal="center" vertical="center" wrapText="1"/>
    </xf>
    <xf numFmtId="0" fontId="63" fillId="29" borderId="15" xfId="0" applyFont="1" applyFill="1" applyBorder="1" applyAlignment="1">
      <alignment horizontal="center" vertical="center"/>
    </xf>
    <xf numFmtId="0" fontId="63" fillId="29" borderId="16" xfId="0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center" vertical="center" wrapText="1"/>
    </xf>
    <xf numFmtId="170" fontId="70" fillId="29" borderId="0" xfId="0" quotePrefix="1" applyNumberFormat="1" applyFont="1" applyFill="1" applyBorder="1" applyAlignment="1">
      <alignment horizontal="center" vertical="center" wrapText="1"/>
    </xf>
    <xf numFmtId="0" fontId="71" fillId="0" borderId="0" xfId="0" applyFont="1" applyFill="1" applyBorder="1" applyAlignment="1">
      <alignment horizontal="center" vertical="center"/>
    </xf>
    <xf numFmtId="0" fontId="62" fillId="0" borderId="3" xfId="0" applyFont="1" applyFill="1" applyBorder="1" applyAlignment="1">
      <alignment horizontal="center" vertical="center" wrapText="1"/>
    </xf>
    <xf numFmtId="0" fontId="62" fillId="0" borderId="15" xfId="0" applyFont="1" applyFill="1" applyBorder="1" applyAlignment="1">
      <alignment horizontal="left" vertical="center" wrapText="1"/>
    </xf>
    <xf numFmtId="0" fontId="62" fillId="0" borderId="14" xfId="0" applyFont="1" applyFill="1" applyBorder="1" applyAlignment="1">
      <alignment horizontal="left" vertical="center" wrapText="1"/>
    </xf>
    <xf numFmtId="0" fontId="62" fillId="0" borderId="16" xfId="0" applyFont="1" applyFill="1" applyBorder="1" applyAlignment="1">
      <alignment horizontal="left" vertical="center" wrapText="1"/>
    </xf>
    <xf numFmtId="0" fontId="74" fillId="30" borderId="0" xfId="0" applyFont="1" applyFill="1" applyAlignment="1">
      <alignment vertical="center" wrapText="1"/>
    </xf>
    <xf numFmtId="0" fontId="75" fillId="30" borderId="0" xfId="0" applyFont="1" applyFill="1" applyAlignment="1">
      <alignment vertical="center" wrapText="1"/>
    </xf>
    <xf numFmtId="0" fontId="62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horizontal="center"/>
    </xf>
    <xf numFmtId="0" fontId="72" fillId="0" borderId="0" xfId="0" applyFont="1" applyFill="1" applyBorder="1" applyAlignment="1">
      <alignment horizontal="center"/>
    </xf>
    <xf numFmtId="3" fontId="68" fillId="0" borderId="15" xfId="0" applyNumberFormat="1" applyFont="1" applyFill="1" applyBorder="1" applyAlignment="1">
      <alignment horizontal="left" vertical="center" wrapText="1"/>
    </xf>
    <xf numFmtId="3" fontId="68" fillId="0" borderId="14" xfId="0" applyNumberFormat="1" applyFont="1" applyFill="1" applyBorder="1" applyAlignment="1">
      <alignment horizontal="left" vertical="center" wrapText="1"/>
    </xf>
    <xf numFmtId="0" fontId="68" fillId="0" borderId="15" xfId="0" applyFont="1" applyFill="1" applyBorder="1" applyAlignment="1">
      <alignment horizontal="left" vertical="center" wrapText="1"/>
    </xf>
    <xf numFmtId="0" fontId="68" fillId="0" borderId="14" xfId="0" applyFont="1" applyFill="1" applyBorder="1" applyAlignment="1">
      <alignment horizontal="left" vertical="center" wrapText="1"/>
    </xf>
    <xf numFmtId="0" fontId="74" fillId="0" borderId="15" xfId="0" applyFont="1" applyFill="1" applyBorder="1" applyAlignment="1">
      <alignment horizontal="left" vertical="center" wrapText="1"/>
    </xf>
    <xf numFmtId="0" fontId="74" fillId="0" borderId="14" xfId="0" applyFont="1" applyFill="1" applyBorder="1" applyAlignment="1">
      <alignment horizontal="left" vertical="center" wrapText="1"/>
    </xf>
    <xf numFmtId="0" fontId="74" fillId="0" borderId="16" xfId="0" applyFont="1" applyFill="1" applyBorder="1" applyAlignment="1">
      <alignment horizontal="left" vertical="center" wrapText="1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U307"/>
  <sheetViews>
    <sheetView tabSelected="1" view="pageBreakPreview" topLeftCell="A135" zoomScale="75" zoomScaleNormal="75" zoomScaleSheetLayoutView="75" workbookViewId="0">
      <selection activeCell="D151" sqref="D151"/>
    </sheetView>
  </sheetViews>
  <sheetFormatPr defaultRowHeight="20.25"/>
  <cols>
    <col min="1" max="1" width="65.42578125" style="195" customWidth="1"/>
    <col min="2" max="2" width="17.28515625" style="87" customWidth="1"/>
    <col min="3" max="4" width="18" style="87" customWidth="1"/>
    <col min="5" max="5" width="18.7109375" style="195" customWidth="1"/>
    <col min="6" max="6" width="19" style="195" customWidth="1"/>
    <col min="7" max="7" width="18.7109375" style="195" customWidth="1"/>
    <col min="8" max="8" width="19.7109375" style="195" customWidth="1"/>
    <col min="9" max="9" width="10" style="195" customWidth="1"/>
    <col min="10" max="10" width="9.5703125" style="195" customWidth="1"/>
    <col min="11" max="12" width="9.140625" style="195" customWidth="1"/>
    <col min="13" max="13" width="15.5703125" style="195" customWidth="1"/>
    <col min="14" max="14" width="30.140625" style="195" customWidth="1"/>
    <col min="15" max="15" width="9.140625" style="195"/>
    <col min="16" max="16" width="18" style="195" customWidth="1"/>
    <col min="17" max="17" width="23.7109375" style="195" customWidth="1"/>
    <col min="18" max="16384" width="9.140625" style="195"/>
  </cols>
  <sheetData>
    <row r="1" spans="1:8" ht="122.25" customHeight="1">
      <c r="A1" s="334" t="s">
        <v>638</v>
      </c>
      <c r="B1" s="333"/>
      <c r="C1" s="333"/>
      <c r="D1" s="333"/>
      <c r="E1" s="333"/>
      <c r="F1" s="333"/>
      <c r="G1" s="333"/>
      <c r="H1" s="333"/>
    </row>
    <row r="2" spans="1:8" ht="30" customHeight="1">
      <c r="A2" s="333" t="s">
        <v>27</v>
      </c>
      <c r="B2" s="333"/>
      <c r="C2" s="333"/>
      <c r="D2" s="333"/>
      <c r="E2" s="333"/>
      <c r="F2" s="333"/>
      <c r="G2" s="333"/>
      <c r="H2" s="333"/>
    </row>
    <row r="3" spans="1:8" ht="39" customHeight="1">
      <c r="B3" s="196"/>
      <c r="C3" s="93"/>
      <c r="D3" s="196"/>
      <c r="E3" s="196"/>
      <c r="F3" s="196"/>
      <c r="G3" s="196"/>
      <c r="H3" s="89" t="s">
        <v>93</v>
      </c>
    </row>
    <row r="4" spans="1:8" ht="68.25" customHeight="1">
      <c r="A4" s="344" t="s">
        <v>34</v>
      </c>
      <c r="B4" s="346" t="s">
        <v>5</v>
      </c>
      <c r="C4" s="352" t="s">
        <v>200</v>
      </c>
      <c r="D4" s="352"/>
      <c r="E4" s="349" t="s">
        <v>634</v>
      </c>
      <c r="F4" s="350"/>
      <c r="G4" s="350"/>
      <c r="H4" s="351"/>
    </row>
    <row r="5" spans="1:8" ht="45.75" customHeight="1">
      <c r="A5" s="345"/>
      <c r="B5" s="347"/>
      <c r="C5" s="271" t="s">
        <v>632</v>
      </c>
      <c r="D5" s="271" t="s">
        <v>633</v>
      </c>
      <c r="E5" s="4" t="s">
        <v>182</v>
      </c>
      <c r="F5" s="4" t="s">
        <v>183</v>
      </c>
      <c r="G5" s="4" t="s">
        <v>184</v>
      </c>
      <c r="H5" s="4" t="s">
        <v>185</v>
      </c>
    </row>
    <row r="6" spans="1:8" ht="29.25" customHeight="1">
      <c r="A6" s="9">
        <v>1</v>
      </c>
      <c r="B6" s="95">
        <v>2</v>
      </c>
      <c r="C6" s="95">
        <v>3</v>
      </c>
      <c r="D6" s="95">
        <v>4</v>
      </c>
      <c r="E6" s="95">
        <v>5</v>
      </c>
      <c r="F6" s="95">
        <v>6</v>
      </c>
      <c r="G6" s="95">
        <v>7</v>
      </c>
      <c r="H6" s="197">
        <v>8</v>
      </c>
    </row>
    <row r="7" spans="1:8" ht="24.95" customHeight="1">
      <c r="A7" s="348" t="s">
        <v>158</v>
      </c>
      <c r="B7" s="348"/>
      <c r="C7" s="348"/>
      <c r="D7" s="348"/>
      <c r="E7" s="348"/>
      <c r="F7" s="348"/>
      <c r="G7" s="348"/>
      <c r="H7" s="348"/>
    </row>
    <row r="8" spans="1:8" ht="45" customHeight="1">
      <c r="A8" s="5" t="s">
        <v>201</v>
      </c>
      <c r="B8" s="6">
        <v>1000</v>
      </c>
      <c r="C8" s="7">
        <v>245.1</v>
      </c>
      <c r="D8" s="7">
        <v>46843.7</v>
      </c>
      <c r="E8" s="7">
        <v>37897.5</v>
      </c>
      <c r="F8" s="7">
        <v>46843.7</v>
      </c>
      <c r="G8" s="7">
        <f>F8-E8</f>
        <v>8946.1999999999971</v>
      </c>
      <c r="H8" s="8">
        <f>(F8/E8)*100</f>
        <v>123.6063064845966</v>
      </c>
    </row>
    <row r="9" spans="1:8" ht="47.25" customHeight="1">
      <c r="A9" s="5" t="s">
        <v>117</v>
      </c>
      <c r="B9" s="6">
        <v>1010</v>
      </c>
      <c r="C9" s="7">
        <f>SUM(C10:C14)</f>
        <v>-29485</v>
      </c>
      <c r="D9" s="7">
        <f>SUM(D10:D14)</f>
        <v>-66955.400000000009</v>
      </c>
      <c r="E9" s="7">
        <f t="shared" ref="E9:F9" si="0">SUM(E10:E14)</f>
        <v>-41972.4</v>
      </c>
      <c r="F9" s="7">
        <f t="shared" si="0"/>
        <v>-66955.400000000009</v>
      </c>
      <c r="G9" s="7">
        <f t="shared" ref="G9:G43" si="1">F9-E9</f>
        <v>-24983.000000000007</v>
      </c>
      <c r="H9" s="8">
        <f t="shared" ref="H9:H43" si="2">(F9/E9)*100</f>
        <v>159.52244808493202</v>
      </c>
    </row>
    <row r="10" spans="1:8" ht="30" customHeight="1">
      <c r="A10" s="1" t="s">
        <v>118</v>
      </c>
      <c r="B10" s="9">
        <v>1011</v>
      </c>
      <c r="C10" s="10">
        <v>-94.3</v>
      </c>
      <c r="D10" s="10">
        <v>-11277.2</v>
      </c>
      <c r="E10" s="10">
        <v>-4285.5</v>
      </c>
      <c r="F10" s="10">
        <v>-11277.2</v>
      </c>
      <c r="G10" s="10">
        <f>F10-E10</f>
        <v>-6991.7000000000007</v>
      </c>
      <c r="H10" s="11">
        <f t="shared" si="2"/>
        <v>263.14782405786957</v>
      </c>
    </row>
    <row r="11" spans="1:8" ht="28.5" customHeight="1">
      <c r="A11" s="1" t="s">
        <v>2</v>
      </c>
      <c r="B11" s="9">
        <v>1012</v>
      </c>
      <c r="C11" s="10">
        <v>-23968.5</v>
      </c>
      <c r="D11" s="10">
        <v>-40186.300000000003</v>
      </c>
      <c r="E11" s="10">
        <v>-28840.799999999999</v>
      </c>
      <c r="F11" s="10">
        <v>-40186.300000000003</v>
      </c>
      <c r="G11" s="10">
        <f t="shared" si="1"/>
        <v>-11345.500000000004</v>
      </c>
      <c r="H11" s="11">
        <f t="shared" si="2"/>
        <v>139.33836786774293</v>
      </c>
    </row>
    <row r="12" spans="1:8" ht="29.25" customHeight="1">
      <c r="A12" s="1" t="s">
        <v>3</v>
      </c>
      <c r="B12" s="9">
        <v>1013</v>
      </c>
      <c r="C12" s="10">
        <v>-5147.3</v>
      </c>
      <c r="D12" s="10">
        <v>-8666.7999999999993</v>
      </c>
      <c r="E12" s="10">
        <v>-6270.4</v>
      </c>
      <c r="F12" s="10">
        <v>-8666.7999999999993</v>
      </c>
      <c r="G12" s="10">
        <f t="shared" si="1"/>
        <v>-2396.3999999999996</v>
      </c>
      <c r="H12" s="11">
        <f t="shared" si="2"/>
        <v>138.21765756570554</v>
      </c>
    </row>
    <row r="13" spans="1:8" ht="29.25" customHeight="1">
      <c r="A13" s="1" t="s">
        <v>4</v>
      </c>
      <c r="B13" s="9">
        <v>1014</v>
      </c>
      <c r="C13" s="10" t="s">
        <v>37</v>
      </c>
      <c r="D13" s="10">
        <v>-1636.3</v>
      </c>
      <c r="E13" s="10"/>
      <c r="F13" s="10">
        <v>-1636.3</v>
      </c>
      <c r="G13" s="10">
        <f t="shared" si="1"/>
        <v>-1636.3</v>
      </c>
      <c r="H13" s="246" t="e">
        <f t="shared" si="2"/>
        <v>#DIV/0!</v>
      </c>
    </row>
    <row r="14" spans="1:8" ht="30" customHeight="1">
      <c r="A14" s="1" t="s">
        <v>83</v>
      </c>
      <c r="B14" s="9">
        <v>1015</v>
      </c>
      <c r="C14" s="10">
        <v>-274.89999999999998</v>
      </c>
      <c r="D14" s="10">
        <v>-5188.8</v>
      </c>
      <c r="E14" s="10">
        <v>-2575.6999999999998</v>
      </c>
      <c r="F14" s="10">
        <v>-5188.8</v>
      </c>
      <c r="G14" s="10">
        <f t="shared" si="1"/>
        <v>-2613.1000000000004</v>
      </c>
      <c r="H14" s="11">
        <f t="shared" si="2"/>
        <v>201.45203245719614</v>
      </c>
    </row>
    <row r="15" spans="1:8" ht="28.5" customHeight="1">
      <c r="A15" s="5" t="s">
        <v>36</v>
      </c>
      <c r="B15" s="9">
        <v>1020</v>
      </c>
      <c r="C15" s="7">
        <f>SUM(C8:C9)</f>
        <v>-29239.9</v>
      </c>
      <c r="D15" s="7">
        <f t="shared" ref="D15" si="3">SUM(D8:D9)</f>
        <v>-20111.700000000012</v>
      </c>
      <c r="E15" s="7">
        <f>SUM(E8:E9)</f>
        <v>-4074.9000000000015</v>
      </c>
      <c r="F15" s="7">
        <f>SUM(F8:F9)</f>
        <v>-20111.700000000012</v>
      </c>
      <c r="G15" s="7">
        <f t="shared" si="1"/>
        <v>-16036.80000000001</v>
      </c>
      <c r="H15" s="8">
        <f t="shared" si="2"/>
        <v>493.55076198188925</v>
      </c>
    </row>
    <row r="16" spans="1:8" ht="40.5" customHeight="1">
      <c r="A16" s="5" t="s">
        <v>144</v>
      </c>
      <c r="B16" s="6">
        <v>1020</v>
      </c>
      <c r="C16" s="7">
        <f>SUM(C17:C21)</f>
        <v>-14885.399999999998</v>
      </c>
      <c r="D16" s="7">
        <f t="shared" ref="D16:F16" si="4">SUM(D17:D21)</f>
        <v>-5510.2000000000007</v>
      </c>
      <c r="E16" s="7">
        <f t="shared" si="4"/>
        <v>-10025.099999999999</v>
      </c>
      <c r="F16" s="7">
        <f t="shared" si="4"/>
        <v>-5510.2000000000007</v>
      </c>
      <c r="G16" s="7">
        <f t="shared" si="1"/>
        <v>4514.8999999999978</v>
      </c>
      <c r="H16" s="8">
        <f t="shared" si="2"/>
        <v>54.96404025895005</v>
      </c>
    </row>
    <row r="17" spans="1:8" ht="27.75" customHeight="1">
      <c r="A17" s="1" t="s">
        <v>118</v>
      </c>
      <c r="B17" s="9">
        <v>1021</v>
      </c>
      <c r="C17" s="10">
        <v>-1072.9000000000001</v>
      </c>
      <c r="D17" s="10" t="s">
        <v>37</v>
      </c>
      <c r="E17" s="10">
        <v>-695.1</v>
      </c>
      <c r="F17" s="10"/>
      <c r="G17" s="10">
        <f t="shared" si="1"/>
        <v>695.1</v>
      </c>
      <c r="H17" s="246">
        <f t="shared" si="2"/>
        <v>0</v>
      </c>
    </row>
    <row r="18" spans="1:8" ht="27.75" customHeight="1">
      <c r="A18" s="1" t="s">
        <v>2</v>
      </c>
      <c r="B18" s="9">
        <v>1022</v>
      </c>
      <c r="C18" s="10">
        <v>-5260.5</v>
      </c>
      <c r="D18" s="10">
        <v>-4231.6000000000004</v>
      </c>
      <c r="E18" s="10">
        <v>-2898.7</v>
      </c>
      <c r="F18" s="10">
        <v>-4231.6000000000004</v>
      </c>
      <c r="G18" s="10">
        <f t="shared" si="1"/>
        <v>-1332.9000000000005</v>
      </c>
      <c r="H18" s="11">
        <f t="shared" si="2"/>
        <v>145.98268189188261</v>
      </c>
    </row>
    <row r="19" spans="1:8" ht="27.75" customHeight="1">
      <c r="A19" s="1" t="s">
        <v>3</v>
      </c>
      <c r="B19" s="9">
        <v>1023</v>
      </c>
      <c r="C19" s="10">
        <v>-1178.7</v>
      </c>
      <c r="D19" s="10">
        <v>-920.2</v>
      </c>
      <c r="E19" s="10">
        <v>-617</v>
      </c>
      <c r="F19" s="10">
        <v>-920.2</v>
      </c>
      <c r="G19" s="10">
        <f t="shared" si="1"/>
        <v>-303.20000000000005</v>
      </c>
      <c r="H19" s="11">
        <f t="shared" si="2"/>
        <v>149.14100486223663</v>
      </c>
    </row>
    <row r="20" spans="1:8" ht="27.75" customHeight="1">
      <c r="A20" s="1" t="s">
        <v>4</v>
      </c>
      <c r="B20" s="9">
        <v>1024</v>
      </c>
      <c r="C20" s="10">
        <v>-1200.5999999999999</v>
      </c>
      <c r="D20" s="10">
        <v>-101.6</v>
      </c>
      <c r="E20" s="10">
        <v>-532.79999999999995</v>
      </c>
      <c r="F20" s="10">
        <v>-101.6</v>
      </c>
      <c r="G20" s="10">
        <f t="shared" si="1"/>
        <v>431.19999999999993</v>
      </c>
      <c r="H20" s="11">
        <f t="shared" si="2"/>
        <v>19.069069069069069</v>
      </c>
    </row>
    <row r="21" spans="1:8" ht="27.75" customHeight="1">
      <c r="A21" s="1" t="s">
        <v>119</v>
      </c>
      <c r="B21" s="9">
        <v>1025</v>
      </c>
      <c r="C21" s="10">
        <v>-6172.7</v>
      </c>
      <c r="D21" s="10">
        <v>-256.8</v>
      </c>
      <c r="E21" s="10">
        <v>-5281.5</v>
      </c>
      <c r="F21" s="10">
        <v>-256.8</v>
      </c>
      <c r="G21" s="10">
        <f t="shared" si="1"/>
        <v>5024.7</v>
      </c>
      <c r="H21" s="11">
        <f t="shared" si="2"/>
        <v>4.8622550411814824</v>
      </c>
    </row>
    <row r="22" spans="1:8" ht="45" customHeight="1">
      <c r="A22" s="5" t="s">
        <v>55</v>
      </c>
      <c r="B22" s="6">
        <v>1040</v>
      </c>
      <c r="C22" s="7">
        <f>SUM(C23:C24)</f>
        <v>59228.2</v>
      </c>
      <c r="D22" s="7">
        <f>SUM(D23:D24)</f>
        <v>27552.9</v>
      </c>
      <c r="E22" s="7">
        <f>SUM(E23:E24)</f>
        <v>23368.7</v>
      </c>
      <c r="F22" s="7">
        <f>SUM(F23:F24)</f>
        <v>27552.9</v>
      </c>
      <c r="G22" s="7">
        <f t="shared" si="1"/>
        <v>4184.2000000000007</v>
      </c>
      <c r="H22" s="8">
        <f t="shared" si="2"/>
        <v>117.90514662775422</v>
      </c>
    </row>
    <row r="23" spans="1:8" ht="30.75" customHeight="1">
      <c r="A23" s="1" t="s">
        <v>56</v>
      </c>
      <c r="B23" s="9">
        <v>1041</v>
      </c>
      <c r="C23" s="10"/>
      <c r="D23" s="10"/>
      <c r="E23" s="10"/>
      <c r="F23" s="10"/>
      <c r="G23" s="247">
        <f t="shared" si="1"/>
        <v>0</v>
      </c>
      <c r="H23" s="246" t="e">
        <f t="shared" si="2"/>
        <v>#DIV/0!</v>
      </c>
    </row>
    <row r="24" spans="1:8" ht="27.75" customHeight="1">
      <c r="A24" s="1" t="s">
        <v>57</v>
      </c>
      <c r="B24" s="9">
        <v>1042</v>
      </c>
      <c r="C24" s="10">
        <v>59228.2</v>
      </c>
      <c r="D24" s="10">
        <v>27552.9</v>
      </c>
      <c r="E24" s="10">
        <v>23368.7</v>
      </c>
      <c r="F24" s="10">
        <v>27552.9</v>
      </c>
      <c r="G24" s="10">
        <f t="shared" si="1"/>
        <v>4184.2000000000007</v>
      </c>
      <c r="H24" s="11">
        <f t="shared" si="2"/>
        <v>117.90514662775422</v>
      </c>
    </row>
    <row r="25" spans="1:8" ht="47.25" customHeight="1">
      <c r="A25" s="5" t="s">
        <v>14</v>
      </c>
      <c r="B25" s="6">
        <v>1030</v>
      </c>
      <c r="C25" s="7">
        <f>SUM(C26:C30)</f>
        <v>-16303.5</v>
      </c>
      <c r="D25" s="7">
        <f t="shared" ref="D25:F25" si="5">SUM(D26:D30)</f>
        <v>-472.20000000000005</v>
      </c>
      <c r="E25" s="7">
        <f t="shared" si="5"/>
        <v>-9801.5</v>
      </c>
      <c r="F25" s="7">
        <f t="shared" si="5"/>
        <v>-472.20000000000005</v>
      </c>
      <c r="G25" s="7">
        <f t="shared" si="1"/>
        <v>9329.2999999999993</v>
      </c>
      <c r="H25" s="8">
        <f t="shared" si="2"/>
        <v>4.8176299545987868</v>
      </c>
    </row>
    <row r="26" spans="1:8" ht="27.75" customHeight="1">
      <c r="A26" s="1" t="s">
        <v>118</v>
      </c>
      <c r="B26" s="9">
        <v>1031</v>
      </c>
      <c r="C26" s="10">
        <v>-8062.6</v>
      </c>
      <c r="D26" s="10">
        <v>-25.6</v>
      </c>
      <c r="E26" s="10">
        <v>-1223.8</v>
      </c>
      <c r="F26" s="10">
        <v>-25.6</v>
      </c>
      <c r="G26" s="10">
        <f t="shared" si="1"/>
        <v>1198.2</v>
      </c>
      <c r="H26" s="11">
        <f t="shared" si="2"/>
        <v>2.0918450727243014</v>
      </c>
    </row>
    <row r="27" spans="1:8" ht="27.75" customHeight="1">
      <c r="A27" s="1" t="s">
        <v>2</v>
      </c>
      <c r="B27" s="9">
        <v>1032</v>
      </c>
      <c r="C27" s="10">
        <v>-6370.7</v>
      </c>
      <c r="D27" s="10">
        <v>-330.7</v>
      </c>
      <c r="E27" s="10">
        <v>-6630</v>
      </c>
      <c r="F27" s="10">
        <v>-330.7</v>
      </c>
      <c r="G27" s="10">
        <f t="shared" si="1"/>
        <v>6299.3</v>
      </c>
      <c r="H27" s="11">
        <f t="shared" si="2"/>
        <v>4.9879336349924586</v>
      </c>
    </row>
    <row r="28" spans="1:8" ht="27.75" customHeight="1">
      <c r="A28" s="1" t="s">
        <v>3</v>
      </c>
      <c r="B28" s="9">
        <v>1033</v>
      </c>
      <c r="C28" s="10">
        <v>-1371.1</v>
      </c>
      <c r="D28" s="10" t="s">
        <v>37</v>
      </c>
      <c r="E28" s="10">
        <v>-1438.8</v>
      </c>
      <c r="F28" s="10"/>
      <c r="G28" s="10">
        <f t="shared" si="1"/>
        <v>1438.8</v>
      </c>
      <c r="H28" s="246">
        <f t="shared" si="2"/>
        <v>0</v>
      </c>
    </row>
    <row r="29" spans="1:8" ht="27.75" customHeight="1">
      <c r="A29" s="1" t="s">
        <v>4</v>
      </c>
      <c r="B29" s="9">
        <v>1034</v>
      </c>
      <c r="C29" s="10" t="s">
        <v>37</v>
      </c>
      <c r="D29" s="10" t="s">
        <v>37</v>
      </c>
      <c r="E29" s="10" t="s">
        <v>37</v>
      </c>
      <c r="F29" s="10" t="s">
        <v>37</v>
      </c>
      <c r="G29" s="247" t="e">
        <f t="shared" si="1"/>
        <v>#VALUE!</v>
      </c>
      <c r="H29" s="246" t="e">
        <f t="shared" si="2"/>
        <v>#VALUE!</v>
      </c>
    </row>
    <row r="30" spans="1:8" ht="27.75" customHeight="1">
      <c r="A30" s="1" t="s">
        <v>120</v>
      </c>
      <c r="B30" s="9">
        <v>1035</v>
      </c>
      <c r="C30" s="10">
        <v>-499.1</v>
      </c>
      <c r="D30" s="10">
        <v>-115.9</v>
      </c>
      <c r="E30" s="10">
        <v>-508.9</v>
      </c>
      <c r="F30" s="10">
        <v>-115.9</v>
      </c>
      <c r="G30" s="10">
        <f t="shared" si="1"/>
        <v>393</v>
      </c>
      <c r="H30" s="11">
        <f t="shared" si="2"/>
        <v>22.774611908036945</v>
      </c>
    </row>
    <row r="31" spans="1:8" ht="47.25" customHeight="1">
      <c r="A31" s="5" t="s">
        <v>1</v>
      </c>
      <c r="B31" s="9">
        <v>1100</v>
      </c>
      <c r="C31" s="7">
        <f>SUM(C15,C16,C22,C25)</f>
        <v>-1200.6000000000058</v>
      </c>
      <c r="D31" s="7">
        <f t="shared" ref="D31:F31" si="6">SUM(D15,D16,D22,D25)</f>
        <v>1458.799999999989</v>
      </c>
      <c r="E31" s="7">
        <f t="shared" si="6"/>
        <v>-532.79999999999927</v>
      </c>
      <c r="F31" s="7">
        <f t="shared" si="6"/>
        <v>1458.799999999989</v>
      </c>
      <c r="G31" s="7">
        <f t="shared" si="1"/>
        <v>1991.5999999999883</v>
      </c>
      <c r="H31" s="8">
        <f t="shared" si="2"/>
        <v>-273.79879879879707</v>
      </c>
    </row>
    <row r="32" spans="1:8" ht="27.75" customHeight="1">
      <c r="A32" s="5" t="s">
        <v>202</v>
      </c>
      <c r="B32" s="6">
        <v>1130</v>
      </c>
      <c r="C32" s="7"/>
      <c r="D32" s="7">
        <v>26.5</v>
      </c>
      <c r="E32" s="7"/>
      <c r="F32" s="7">
        <v>26.5</v>
      </c>
      <c r="G32" s="7">
        <f t="shared" si="1"/>
        <v>26.5</v>
      </c>
      <c r="H32" s="248" t="e">
        <f>(F32/E32)*100</f>
        <v>#DIV/0!</v>
      </c>
    </row>
    <row r="33" spans="1:21" ht="27.75" customHeight="1">
      <c r="A33" s="12" t="s">
        <v>203</v>
      </c>
      <c r="B33" s="6">
        <v>1140</v>
      </c>
      <c r="C33" s="7" t="s">
        <v>37</v>
      </c>
      <c r="D33" s="7" t="s">
        <v>37</v>
      </c>
      <c r="E33" s="10" t="s">
        <v>37</v>
      </c>
      <c r="F33" s="10" t="s">
        <v>37</v>
      </c>
      <c r="G33" s="249" t="e">
        <f t="shared" si="1"/>
        <v>#VALUE!</v>
      </c>
      <c r="H33" s="248" t="e">
        <f t="shared" si="2"/>
        <v>#VALUE!</v>
      </c>
    </row>
    <row r="34" spans="1:21" ht="27.75" customHeight="1">
      <c r="A34" s="5" t="s">
        <v>204</v>
      </c>
      <c r="B34" s="6">
        <v>1150</v>
      </c>
      <c r="C34" s="7">
        <v>1200.5999999999999</v>
      </c>
      <c r="D34" s="7">
        <v>1577.9</v>
      </c>
      <c r="E34" s="7">
        <v>532.79999999999995</v>
      </c>
      <c r="F34" s="7">
        <v>1577.9</v>
      </c>
      <c r="G34" s="7">
        <f t="shared" si="1"/>
        <v>1045.1000000000001</v>
      </c>
      <c r="H34" s="8">
        <f t="shared" si="2"/>
        <v>296.15240240240246</v>
      </c>
    </row>
    <row r="35" spans="1:21" ht="27.75" customHeight="1">
      <c r="A35" s="5" t="s">
        <v>205</v>
      </c>
      <c r="B35" s="6">
        <v>1160</v>
      </c>
      <c r="C35" s="7" t="s">
        <v>37</v>
      </c>
      <c r="D35" s="7"/>
      <c r="E35" s="10" t="s">
        <v>37</v>
      </c>
      <c r="F35" s="10" t="s">
        <v>37</v>
      </c>
      <c r="G35" s="249" t="e">
        <f t="shared" si="1"/>
        <v>#VALUE!</v>
      </c>
      <c r="H35" s="248" t="e">
        <f t="shared" si="2"/>
        <v>#VALUE!</v>
      </c>
    </row>
    <row r="36" spans="1:21" ht="28.5" customHeight="1">
      <c r="A36" s="5" t="s">
        <v>18</v>
      </c>
      <c r="B36" s="6">
        <v>1170</v>
      </c>
      <c r="C36" s="7">
        <f>SUM(C31, C32:C35)</f>
        <v>-5.9117155615240335E-12</v>
      </c>
      <c r="D36" s="7">
        <f>SUM(D31, D32:D35)</f>
        <v>3063.1999999999889</v>
      </c>
      <c r="E36" s="7">
        <f>SUM(E31, E32:E35)</f>
        <v>0</v>
      </c>
      <c r="F36" s="7">
        <f>SUM(F31, F32:F35)</f>
        <v>3063.1999999999889</v>
      </c>
      <c r="G36" s="7">
        <f t="shared" si="1"/>
        <v>3063.1999999999889</v>
      </c>
      <c r="H36" s="248" t="e">
        <f t="shared" si="2"/>
        <v>#DIV/0!</v>
      </c>
    </row>
    <row r="37" spans="1:21" ht="27.75" customHeight="1">
      <c r="A37" s="12" t="s">
        <v>39</v>
      </c>
      <c r="B37" s="9">
        <v>1180</v>
      </c>
      <c r="C37" s="10" t="s">
        <v>37</v>
      </c>
      <c r="D37" s="10" t="s">
        <v>37</v>
      </c>
      <c r="E37" s="10" t="s">
        <v>37</v>
      </c>
      <c r="F37" s="10" t="s">
        <v>37</v>
      </c>
      <c r="G37" s="247" t="e">
        <f t="shared" si="1"/>
        <v>#VALUE!</v>
      </c>
      <c r="H37" s="246" t="e">
        <f t="shared" si="2"/>
        <v>#VALUE!</v>
      </c>
    </row>
    <row r="38" spans="1:21" ht="27" customHeight="1">
      <c r="A38" s="12" t="s">
        <v>40</v>
      </c>
      <c r="B38" s="9">
        <v>1181</v>
      </c>
      <c r="C38" s="10"/>
      <c r="D38" s="10"/>
      <c r="E38" s="10"/>
      <c r="F38" s="10"/>
      <c r="G38" s="249">
        <f t="shared" si="1"/>
        <v>0</v>
      </c>
      <c r="H38" s="246" t="e">
        <f t="shared" si="2"/>
        <v>#DIV/0!</v>
      </c>
    </row>
    <row r="39" spans="1:21" ht="28.5" customHeight="1">
      <c r="A39" s="5" t="s">
        <v>79</v>
      </c>
      <c r="B39" s="9">
        <v>1200</v>
      </c>
      <c r="C39" s="7">
        <f>SUM(C36:C38)</f>
        <v>-5.9117155615240335E-12</v>
      </c>
      <c r="D39" s="7">
        <f>SUM(D36:D38)</f>
        <v>3063.1999999999889</v>
      </c>
      <c r="E39" s="7">
        <f>SUM(E36:E38)</f>
        <v>0</v>
      </c>
      <c r="F39" s="7">
        <f>SUM(F36:F38)</f>
        <v>3063.1999999999889</v>
      </c>
      <c r="G39" s="249">
        <f t="shared" si="1"/>
        <v>3063.1999999999889</v>
      </c>
      <c r="H39" s="248" t="e">
        <f t="shared" si="2"/>
        <v>#DIV/0!</v>
      </c>
    </row>
    <row r="40" spans="1:21" ht="35.25" customHeight="1">
      <c r="A40" s="12" t="s">
        <v>80</v>
      </c>
      <c r="B40" s="9">
        <v>1201</v>
      </c>
      <c r="C40" s="10"/>
      <c r="D40" s="10"/>
      <c r="E40" s="10"/>
      <c r="F40" s="10"/>
      <c r="G40" s="247">
        <f t="shared" si="1"/>
        <v>0</v>
      </c>
      <c r="H40" s="246" t="e">
        <f t="shared" si="2"/>
        <v>#DIV/0!</v>
      </c>
    </row>
    <row r="41" spans="1:21" ht="33" customHeight="1">
      <c r="A41" s="12" t="s">
        <v>81</v>
      </c>
      <c r="B41" s="9">
        <v>1202</v>
      </c>
      <c r="C41" s="10" t="s">
        <v>37</v>
      </c>
      <c r="D41" s="10" t="s">
        <v>37</v>
      </c>
      <c r="E41" s="10" t="s">
        <v>37</v>
      </c>
      <c r="F41" s="10" t="s">
        <v>37</v>
      </c>
      <c r="G41" s="247" t="e">
        <f t="shared" si="1"/>
        <v>#VALUE!</v>
      </c>
      <c r="H41" s="246" t="e">
        <f t="shared" si="2"/>
        <v>#VALUE!</v>
      </c>
    </row>
    <row r="42" spans="1:21" ht="33" customHeight="1">
      <c r="A42" s="5" t="s">
        <v>194</v>
      </c>
      <c r="B42" s="6">
        <v>1210</v>
      </c>
      <c r="C42" s="7">
        <f>SUM(C8,C22,C32,C34,C38)</f>
        <v>60673.899999999994</v>
      </c>
      <c r="D42" s="7">
        <f t="shared" ref="D42:F42" si="7">SUM(D8,D22,D32,D34,D38)</f>
        <v>76001</v>
      </c>
      <c r="E42" s="7">
        <f t="shared" si="7"/>
        <v>61799</v>
      </c>
      <c r="F42" s="7">
        <f t="shared" si="7"/>
        <v>76001</v>
      </c>
      <c r="G42" s="7">
        <f t="shared" si="1"/>
        <v>14202</v>
      </c>
      <c r="H42" s="8">
        <f t="shared" si="2"/>
        <v>122.98095438437515</v>
      </c>
      <c r="M42" s="206"/>
      <c r="N42" s="207"/>
      <c r="O42" s="207"/>
      <c r="P42" s="207"/>
      <c r="Q42" s="208"/>
      <c r="R42" s="208"/>
      <c r="S42" s="43"/>
      <c r="T42" s="43"/>
    </row>
    <row r="43" spans="1:21" ht="33" customHeight="1">
      <c r="A43" s="5" t="s">
        <v>195</v>
      </c>
      <c r="B43" s="6">
        <v>1220</v>
      </c>
      <c r="C43" s="7">
        <f>SUM(C9,C16,C25,C33,C35,C37)</f>
        <v>-60673.899999999994</v>
      </c>
      <c r="D43" s="7">
        <f t="shared" ref="D43:F43" si="8">SUM(D9,D16,D25,D33,D35,D37)</f>
        <v>-72937.8</v>
      </c>
      <c r="E43" s="7">
        <f t="shared" si="8"/>
        <v>-61799</v>
      </c>
      <c r="F43" s="7">
        <f t="shared" si="8"/>
        <v>-72937.8</v>
      </c>
      <c r="G43" s="7">
        <f t="shared" si="1"/>
        <v>-11138.800000000003</v>
      </c>
      <c r="H43" s="8">
        <f t="shared" si="2"/>
        <v>118.02423987443163</v>
      </c>
      <c r="M43" s="206"/>
      <c r="N43" s="210"/>
      <c r="O43" s="210"/>
      <c r="P43" s="210"/>
      <c r="Q43" s="210"/>
      <c r="R43" s="210"/>
      <c r="S43" s="43"/>
      <c r="T43" s="43"/>
    </row>
    <row r="44" spans="1:21" s="88" customFormat="1" ht="30.75" customHeight="1">
      <c r="A44" s="32" t="s">
        <v>29</v>
      </c>
      <c r="B44" s="15"/>
      <c r="C44" s="7"/>
      <c r="D44" s="7"/>
      <c r="E44" s="7"/>
      <c r="F44" s="7"/>
      <c r="G44" s="42"/>
      <c r="H44" s="42"/>
      <c r="M44" s="206"/>
      <c r="N44" s="210"/>
      <c r="O44" s="210"/>
      <c r="P44" s="210"/>
      <c r="Q44" s="210"/>
      <c r="R44" s="210"/>
      <c r="S44" s="43"/>
      <c r="T44" s="43"/>
    </row>
    <row r="45" spans="1:21" s="88" customFormat="1" ht="30.75" customHeight="1">
      <c r="A45" s="285" t="s">
        <v>92</v>
      </c>
      <c r="B45" s="271">
        <v>9000</v>
      </c>
      <c r="C45" s="286">
        <v>9229.7999999999993</v>
      </c>
      <c r="D45" s="286">
        <v>11302.8</v>
      </c>
      <c r="E45" s="287">
        <v>6204.4</v>
      </c>
      <c r="F45" s="286">
        <v>11302.8</v>
      </c>
      <c r="G45" s="288">
        <f>F45-E45</f>
        <v>5098.3999999999996</v>
      </c>
      <c r="H45" s="288">
        <f>F45/E45*100</f>
        <v>182.17394107407645</v>
      </c>
      <c r="M45" s="206"/>
      <c r="N45" s="210"/>
      <c r="O45" s="210"/>
      <c r="P45" s="210"/>
      <c r="Q45" s="210"/>
      <c r="R45" s="210"/>
      <c r="S45" s="43"/>
      <c r="T45" s="43"/>
      <c r="U45" s="43"/>
    </row>
    <row r="46" spans="1:21" s="88" customFormat="1" ht="30.75" customHeight="1">
      <c r="A46" s="285" t="s">
        <v>2</v>
      </c>
      <c r="B46" s="271">
        <v>9010</v>
      </c>
      <c r="C46" s="287">
        <f>35596.9+3.1-0.3</f>
        <v>35599.699999999997</v>
      </c>
      <c r="D46" s="287">
        <f>44748.6</f>
        <v>44748.6</v>
      </c>
      <c r="E46" s="287">
        <v>38369.5</v>
      </c>
      <c r="F46" s="287">
        <f>44748.6</f>
        <v>44748.6</v>
      </c>
      <c r="G46" s="288">
        <f t="shared" ref="G46:G50" si="9">F46-E46</f>
        <v>6379.0999999999985</v>
      </c>
      <c r="H46" s="288">
        <f t="shared" ref="H46:H50" si="10">(F46/E46)*100</f>
        <v>116.6254446891411</v>
      </c>
      <c r="M46" s="206"/>
      <c r="N46" s="212"/>
      <c r="O46" s="212"/>
      <c r="P46" s="212"/>
      <c r="Q46" s="212"/>
      <c r="R46" s="212"/>
      <c r="S46" s="43"/>
      <c r="T46" s="43"/>
      <c r="U46" s="43"/>
    </row>
    <row r="47" spans="1:21" s="88" customFormat="1" ht="30.75" customHeight="1">
      <c r="A47" s="285" t="s">
        <v>3</v>
      </c>
      <c r="B47" s="271">
        <v>9020</v>
      </c>
      <c r="C47" s="287">
        <f>7696.4+0.7</f>
        <v>7697.0999999999995</v>
      </c>
      <c r="D47" s="287">
        <f>9587</f>
        <v>9587</v>
      </c>
      <c r="E47" s="287">
        <v>8326.2000000000007</v>
      </c>
      <c r="F47" s="287">
        <f>9587</f>
        <v>9587</v>
      </c>
      <c r="G47" s="288">
        <f t="shared" si="9"/>
        <v>1260.7999999999993</v>
      </c>
      <c r="H47" s="288">
        <f t="shared" si="10"/>
        <v>115.14256203310032</v>
      </c>
      <c r="M47" s="213"/>
      <c r="N47" s="214"/>
      <c r="O47" s="214"/>
      <c r="P47" s="214"/>
      <c r="Q47" s="214"/>
      <c r="R47" s="214"/>
      <c r="S47" s="43"/>
      <c r="T47" s="43"/>
      <c r="U47" s="43"/>
    </row>
    <row r="48" spans="1:21" s="88" customFormat="1" ht="30.75" customHeight="1">
      <c r="A48" s="285" t="s">
        <v>4</v>
      </c>
      <c r="B48" s="271">
        <v>9030</v>
      </c>
      <c r="C48" s="287">
        <v>1200.5999999999999</v>
      </c>
      <c r="D48" s="287">
        <v>1737.9</v>
      </c>
      <c r="E48" s="287">
        <v>532.79999999999995</v>
      </c>
      <c r="F48" s="287">
        <v>1737.9</v>
      </c>
      <c r="G48" s="288">
        <f t="shared" si="9"/>
        <v>1205.1000000000001</v>
      </c>
      <c r="H48" s="288">
        <f t="shared" si="10"/>
        <v>326.18243243243245</v>
      </c>
      <c r="M48" s="213"/>
      <c r="N48" s="208"/>
      <c r="O48" s="208"/>
      <c r="P48" s="208"/>
      <c r="Q48" s="208"/>
      <c r="R48" s="208"/>
      <c r="S48" s="43"/>
      <c r="T48" s="43"/>
      <c r="U48" s="43"/>
    </row>
    <row r="49" spans="1:21" s="88" customFormat="1" ht="30.75" customHeight="1">
      <c r="A49" s="285" t="s">
        <v>6</v>
      </c>
      <c r="B49" s="271">
        <v>9040</v>
      </c>
      <c r="C49" s="287">
        <v>6946.7</v>
      </c>
      <c r="D49" s="287">
        <v>5561.5</v>
      </c>
      <c r="E49" s="287">
        <v>8366.1</v>
      </c>
      <c r="F49" s="287">
        <v>5561.5</v>
      </c>
      <c r="G49" s="288">
        <f t="shared" si="9"/>
        <v>-2804.6000000000004</v>
      </c>
      <c r="H49" s="288">
        <f t="shared" si="10"/>
        <v>66.476613953933125</v>
      </c>
      <c r="M49" s="190"/>
      <c r="N49" s="190"/>
      <c r="O49" s="215"/>
      <c r="P49" s="190"/>
      <c r="Q49" s="190"/>
      <c r="R49" s="190"/>
      <c r="S49" s="43"/>
      <c r="T49" s="43"/>
      <c r="U49" s="43"/>
    </row>
    <row r="50" spans="1:21" s="88" customFormat="1" ht="30.75" customHeight="1">
      <c r="A50" s="289" t="s">
        <v>11</v>
      </c>
      <c r="B50" s="290">
        <v>9050</v>
      </c>
      <c r="C50" s="291">
        <f>SUM(C45:C49)</f>
        <v>60673.899999999994</v>
      </c>
      <c r="D50" s="291">
        <f>SUM(D45:D49)</f>
        <v>72937.799999999988</v>
      </c>
      <c r="E50" s="291">
        <f>SUM(E45:E49)</f>
        <v>61799.000000000007</v>
      </c>
      <c r="F50" s="291">
        <f>SUM(F45:F49)</f>
        <v>72937.799999999988</v>
      </c>
      <c r="G50" s="292">
        <f t="shared" si="9"/>
        <v>11138.799999999981</v>
      </c>
      <c r="H50" s="293">
        <f t="shared" si="10"/>
        <v>118.0242398744316</v>
      </c>
      <c r="O50" s="213"/>
      <c r="P50" s="208"/>
      <c r="Q50" s="208"/>
      <c r="R50" s="208"/>
      <c r="S50" s="208"/>
      <c r="T50" s="208"/>
      <c r="U50" s="43"/>
    </row>
    <row r="51" spans="1:21" ht="24.95" customHeight="1">
      <c r="A51" s="341" t="s">
        <v>159</v>
      </c>
      <c r="B51" s="341"/>
      <c r="C51" s="341"/>
      <c r="D51" s="341"/>
      <c r="E51" s="341"/>
      <c r="F51" s="341"/>
      <c r="G51" s="341"/>
      <c r="H51" s="341"/>
    </row>
    <row r="52" spans="1:21" ht="69" customHeight="1">
      <c r="A52" s="294" t="s">
        <v>94</v>
      </c>
      <c r="B52" s="295">
        <v>2110</v>
      </c>
      <c r="C52" s="282">
        <f t="shared" ref="C52:F52" si="11">SUM(C53:C56)</f>
        <v>-533.9</v>
      </c>
      <c r="D52" s="282">
        <f>SUM(D53:D56)</f>
        <v>-692</v>
      </c>
      <c r="E52" s="282">
        <f t="shared" si="11"/>
        <v>-575.6</v>
      </c>
      <c r="F52" s="282">
        <f t="shared" si="11"/>
        <v>-692</v>
      </c>
      <c r="G52" s="282">
        <f>F52-E52</f>
        <v>-116.39999999999998</v>
      </c>
      <c r="H52" s="282">
        <f>(F52/E52)*100</f>
        <v>120.22237665045171</v>
      </c>
    </row>
    <row r="53" spans="1:21" ht="44.25" customHeight="1">
      <c r="A53" s="285" t="s">
        <v>88</v>
      </c>
      <c r="B53" s="296">
        <v>2111</v>
      </c>
      <c r="C53" s="283" t="s">
        <v>37</v>
      </c>
      <c r="D53" s="283">
        <v>-20.9</v>
      </c>
      <c r="E53" s="283"/>
      <c r="F53" s="283">
        <v>-20.9</v>
      </c>
      <c r="G53" s="283">
        <f t="shared" ref="G53:G68" si="12">F53-E53</f>
        <v>-20.9</v>
      </c>
      <c r="H53" s="297" t="e">
        <f t="shared" ref="H53:H68" si="13">(F53/E53)*100</f>
        <v>#DIV/0!</v>
      </c>
    </row>
    <row r="54" spans="1:21" ht="45.75" customHeight="1">
      <c r="A54" s="298" t="s">
        <v>89</v>
      </c>
      <c r="B54" s="296">
        <v>2112</v>
      </c>
      <c r="C54" s="283"/>
      <c r="D54" s="283" t="s">
        <v>37</v>
      </c>
      <c r="E54" s="283" t="s">
        <v>37</v>
      </c>
      <c r="F54" s="283" t="s">
        <v>37</v>
      </c>
      <c r="G54" s="282"/>
      <c r="H54" s="297" t="e">
        <f t="shared" si="13"/>
        <v>#VALUE!</v>
      </c>
    </row>
    <row r="55" spans="1:21" ht="28.5" customHeight="1">
      <c r="A55" s="285" t="s">
        <v>98</v>
      </c>
      <c r="B55" s="296">
        <v>2113</v>
      </c>
      <c r="C55" s="283">
        <v>-533.9</v>
      </c>
      <c r="D55" s="283">
        <v>-671.1</v>
      </c>
      <c r="E55" s="283">
        <v>-575.6</v>
      </c>
      <c r="F55" s="283">
        <v>-671.1</v>
      </c>
      <c r="G55" s="283">
        <f t="shared" si="12"/>
        <v>-95.5</v>
      </c>
      <c r="H55" s="283">
        <f t="shared" si="13"/>
        <v>116.59138290479501</v>
      </c>
    </row>
    <row r="56" spans="1:21" ht="33" customHeight="1">
      <c r="A56" s="285" t="s">
        <v>73</v>
      </c>
      <c r="B56" s="296">
        <v>2114</v>
      </c>
      <c r="C56" s="283"/>
      <c r="D56" s="283" t="s">
        <v>37</v>
      </c>
      <c r="E56" s="283" t="s">
        <v>37</v>
      </c>
      <c r="F56" s="283" t="s">
        <v>37</v>
      </c>
      <c r="G56" s="282"/>
      <c r="H56" s="297" t="e">
        <f t="shared" si="13"/>
        <v>#VALUE!</v>
      </c>
    </row>
    <row r="57" spans="1:21" ht="43.5" customHeight="1">
      <c r="A57" s="299" t="s">
        <v>95</v>
      </c>
      <c r="B57" s="290">
        <v>2120</v>
      </c>
      <c r="C57" s="282">
        <f>SUM(C58:C63)</f>
        <v>-6408.7</v>
      </c>
      <c r="D57" s="282">
        <f>SUM(D58:D63)</f>
        <v>-8055.3</v>
      </c>
      <c r="E57" s="282">
        <f>SUM(E58:E63)</f>
        <v>-6907</v>
      </c>
      <c r="F57" s="282">
        <f>SUM(F58:F63)</f>
        <v>-8055.3</v>
      </c>
      <c r="G57" s="282">
        <f t="shared" si="12"/>
        <v>-1148.3000000000002</v>
      </c>
      <c r="H57" s="282">
        <f t="shared" si="13"/>
        <v>116.62516287823948</v>
      </c>
    </row>
    <row r="58" spans="1:21" ht="36" customHeight="1">
      <c r="A58" s="298" t="s">
        <v>64</v>
      </c>
      <c r="B58" s="271">
        <v>2121</v>
      </c>
      <c r="C58" s="283"/>
      <c r="D58" s="283" t="s">
        <v>37</v>
      </c>
      <c r="E58" s="283" t="s">
        <v>37</v>
      </c>
      <c r="F58" s="283" t="s">
        <v>37</v>
      </c>
      <c r="G58" s="282"/>
      <c r="H58" s="297" t="e">
        <f t="shared" si="13"/>
        <v>#VALUE!</v>
      </c>
    </row>
    <row r="59" spans="1:21" ht="33.75" customHeight="1">
      <c r="A59" s="285" t="s">
        <v>16</v>
      </c>
      <c r="B59" s="271">
        <v>2122</v>
      </c>
      <c r="C59" s="283">
        <v>-6407.9</v>
      </c>
      <c r="D59" s="283">
        <v>-8054.7</v>
      </c>
      <c r="E59" s="283">
        <v>-6906.4</v>
      </c>
      <c r="F59" s="283">
        <v>-8054.7</v>
      </c>
      <c r="G59" s="283">
        <f t="shared" si="12"/>
        <v>-1148.3000000000002</v>
      </c>
      <c r="H59" s="283">
        <f t="shared" si="13"/>
        <v>116.62660720491138</v>
      </c>
    </row>
    <row r="60" spans="1:21" ht="31.5" customHeight="1">
      <c r="A60" s="285" t="s">
        <v>77</v>
      </c>
      <c r="B60" s="271">
        <v>2123</v>
      </c>
      <c r="C60" s="283">
        <v>-0.8</v>
      </c>
      <c r="D60" s="283">
        <v>-0.6</v>
      </c>
      <c r="E60" s="283">
        <v>-0.6</v>
      </c>
      <c r="F60" s="283">
        <v>-0.6</v>
      </c>
      <c r="G60" s="282">
        <f t="shared" si="12"/>
        <v>0</v>
      </c>
      <c r="H60" s="283">
        <f t="shared" si="13"/>
        <v>100</v>
      </c>
    </row>
    <row r="61" spans="1:21" ht="31.5" customHeight="1">
      <c r="A61" s="1" t="s">
        <v>78</v>
      </c>
      <c r="B61" s="95">
        <v>2124</v>
      </c>
      <c r="C61" s="10" t="s">
        <v>37</v>
      </c>
      <c r="D61" s="10" t="s">
        <v>37</v>
      </c>
      <c r="E61" s="10" t="s">
        <v>37</v>
      </c>
      <c r="F61" s="10" t="s">
        <v>37</v>
      </c>
      <c r="G61" s="282"/>
      <c r="H61" s="247" t="e">
        <f t="shared" si="13"/>
        <v>#VALUE!</v>
      </c>
    </row>
    <row r="62" spans="1:21" ht="96.75" customHeight="1">
      <c r="A62" s="1" t="s">
        <v>196</v>
      </c>
      <c r="B62" s="95">
        <v>2125</v>
      </c>
      <c r="C62" s="10" t="s">
        <v>37</v>
      </c>
      <c r="D62" s="10" t="s">
        <v>37</v>
      </c>
      <c r="E62" s="10" t="s">
        <v>37</v>
      </c>
      <c r="F62" s="10" t="s">
        <v>37</v>
      </c>
      <c r="G62" s="282"/>
      <c r="H62" s="247" t="e">
        <f t="shared" si="13"/>
        <v>#VALUE!</v>
      </c>
    </row>
    <row r="63" spans="1:21" ht="31.5" customHeight="1">
      <c r="A63" s="1" t="s">
        <v>73</v>
      </c>
      <c r="B63" s="95">
        <v>2126</v>
      </c>
      <c r="C63" s="10" t="s">
        <v>37</v>
      </c>
      <c r="D63" s="10" t="s">
        <v>37</v>
      </c>
      <c r="E63" s="10" t="s">
        <v>37</v>
      </c>
      <c r="F63" s="10" t="s">
        <v>37</v>
      </c>
      <c r="G63" s="282"/>
      <c r="H63" s="247" t="e">
        <f t="shared" si="13"/>
        <v>#VALUE!</v>
      </c>
    </row>
    <row r="64" spans="1:21" ht="48" customHeight="1">
      <c r="A64" s="13" t="s">
        <v>96</v>
      </c>
      <c r="B64" s="15">
        <v>2130</v>
      </c>
      <c r="C64" s="7">
        <f>SUM(C65:C67)</f>
        <v>-7968.4000000000005</v>
      </c>
      <c r="D64" s="7">
        <f t="shared" ref="D64:F64" si="14">SUM(D65:D67)</f>
        <v>-9842.2000000000007</v>
      </c>
      <c r="E64" s="7">
        <f t="shared" si="14"/>
        <v>-8709.8000000000011</v>
      </c>
      <c r="F64" s="7">
        <f t="shared" si="14"/>
        <v>-9842.2000000000007</v>
      </c>
      <c r="G64" s="282">
        <f t="shared" si="12"/>
        <v>-1132.3999999999996</v>
      </c>
      <c r="H64" s="7">
        <f t="shared" si="13"/>
        <v>113.00144664630645</v>
      </c>
    </row>
    <row r="65" spans="1:8" ht="33" customHeight="1">
      <c r="A65" s="1" t="s">
        <v>74</v>
      </c>
      <c r="B65" s="95">
        <v>2131</v>
      </c>
      <c r="C65" s="10" t="s">
        <v>37</v>
      </c>
      <c r="D65" s="10" t="s">
        <v>37</v>
      </c>
      <c r="E65" s="10" t="s">
        <v>37</v>
      </c>
      <c r="F65" s="10" t="s">
        <v>37</v>
      </c>
      <c r="G65" s="282"/>
      <c r="H65" s="247" t="e">
        <f t="shared" si="13"/>
        <v>#VALUE!</v>
      </c>
    </row>
    <row r="66" spans="1:8" ht="44.25" customHeight="1">
      <c r="A66" s="1" t="s">
        <v>75</v>
      </c>
      <c r="B66" s="95">
        <v>2132</v>
      </c>
      <c r="C66" s="10">
        <v>-7697.1</v>
      </c>
      <c r="D66" s="10">
        <v>-9587</v>
      </c>
      <c r="E66" s="10">
        <v>-8326.2000000000007</v>
      </c>
      <c r="F66" s="10">
        <v>-9587</v>
      </c>
      <c r="G66" s="283">
        <f t="shared" si="12"/>
        <v>-1260.7999999999993</v>
      </c>
      <c r="H66" s="10">
        <f t="shared" si="13"/>
        <v>115.14256203310032</v>
      </c>
    </row>
    <row r="67" spans="1:8" ht="35.25" customHeight="1">
      <c r="A67" s="1" t="s">
        <v>76</v>
      </c>
      <c r="B67" s="95">
        <v>2133</v>
      </c>
      <c r="C67" s="10">
        <v>-271.3</v>
      </c>
      <c r="D67" s="10">
        <v>-255.2</v>
      </c>
      <c r="E67" s="10">
        <v>-383.6</v>
      </c>
      <c r="F67" s="10">
        <v>-255.2</v>
      </c>
      <c r="G67" s="283">
        <f t="shared" si="12"/>
        <v>128.40000000000003</v>
      </c>
      <c r="H67" s="10">
        <f t="shared" si="13"/>
        <v>66.527632950990608</v>
      </c>
    </row>
    <row r="68" spans="1:8" ht="30.75" customHeight="1">
      <c r="A68" s="14" t="s">
        <v>91</v>
      </c>
      <c r="B68" s="15">
        <v>2200</v>
      </c>
      <c r="C68" s="7">
        <f>SUM(C52+C57+C64)</f>
        <v>-14911</v>
      </c>
      <c r="D68" s="7">
        <f>SUM(D52+D57+D64)</f>
        <v>-18589.5</v>
      </c>
      <c r="E68" s="7">
        <f>SUM(E52+E57+E64)</f>
        <v>-16192.400000000001</v>
      </c>
      <c r="F68" s="7">
        <f>SUM(F52+F57+F64)</f>
        <v>-18589.5</v>
      </c>
      <c r="G68" s="282">
        <f t="shared" si="12"/>
        <v>-2397.0999999999985</v>
      </c>
      <c r="H68" s="7">
        <f t="shared" si="13"/>
        <v>114.803858600331</v>
      </c>
    </row>
    <row r="69" spans="1:8" ht="24.95" customHeight="1">
      <c r="A69" s="339" t="s">
        <v>160</v>
      </c>
      <c r="B69" s="340"/>
      <c r="C69" s="339"/>
      <c r="D69" s="339"/>
      <c r="E69" s="339"/>
      <c r="F69" s="339"/>
      <c r="G69" s="339"/>
      <c r="H69" s="339"/>
    </row>
    <row r="70" spans="1:8" ht="46.5" customHeight="1">
      <c r="A70" s="16" t="s">
        <v>22</v>
      </c>
      <c r="B70" s="15"/>
      <c r="C70" s="17"/>
      <c r="D70" s="17"/>
      <c r="E70" s="17"/>
      <c r="F70" s="17"/>
      <c r="G70" s="17"/>
      <c r="H70" s="17"/>
    </row>
    <row r="71" spans="1:8" ht="42.75" customHeight="1">
      <c r="A71" s="5" t="s">
        <v>59</v>
      </c>
      <c r="B71" s="6">
        <v>3000</v>
      </c>
      <c r="C71" s="17">
        <f>SUM(C72:C75)</f>
        <v>57120.399999999994</v>
      </c>
      <c r="D71" s="17">
        <f t="shared" ref="D71:F71" si="15">SUM(D72:D75)</f>
        <v>75773.200000000012</v>
      </c>
      <c r="E71" s="17">
        <f t="shared" si="15"/>
        <v>61266.2</v>
      </c>
      <c r="F71" s="17">
        <f t="shared" si="15"/>
        <v>75773.200000000012</v>
      </c>
      <c r="G71" s="17">
        <f>F71-E71</f>
        <v>14507.000000000015</v>
      </c>
      <c r="H71" s="17">
        <f>(F71/E71)*100</f>
        <v>123.67863520179154</v>
      </c>
    </row>
    <row r="72" spans="1:8" ht="51.75" customHeight="1">
      <c r="A72" s="12" t="s">
        <v>84</v>
      </c>
      <c r="B72" s="9">
        <v>3010</v>
      </c>
      <c r="C72" s="18">
        <v>245.1</v>
      </c>
      <c r="D72" s="18">
        <v>46868.6</v>
      </c>
      <c r="E72" s="18">
        <v>37897.5</v>
      </c>
      <c r="F72" s="18">
        <v>46868.6</v>
      </c>
      <c r="G72" s="18">
        <f t="shared" ref="G72:G114" si="16">F72-E72</f>
        <v>8971.0999999999985</v>
      </c>
      <c r="H72" s="18">
        <f t="shared" ref="H72:H114" si="17">(F72/E72)*100</f>
        <v>123.67201002704664</v>
      </c>
    </row>
    <row r="73" spans="1:8" ht="27.75" customHeight="1">
      <c r="A73" s="12" t="s">
        <v>85</v>
      </c>
      <c r="B73" s="9">
        <v>3020</v>
      </c>
      <c r="C73" s="18">
        <v>54314.1</v>
      </c>
      <c r="D73" s="18">
        <v>28394</v>
      </c>
      <c r="E73" s="18">
        <v>21449.599999999999</v>
      </c>
      <c r="F73" s="18">
        <v>28394</v>
      </c>
      <c r="G73" s="18">
        <f t="shared" si="16"/>
        <v>6944.4000000000015</v>
      </c>
      <c r="H73" s="18">
        <f t="shared" si="17"/>
        <v>132.37542891242728</v>
      </c>
    </row>
    <row r="74" spans="1:8" ht="49.5" customHeight="1">
      <c r="A74" s="1" t="s">
        <v>100</v>
      </c>
      <c r="B74" s="9">
        <v>3030</v>
      </c>
      <c r="C74" s="18">
        <v>2.1</v>
      </c>
      <c r="D74" s="18">
        <v>17</v>
      </c>
      <c r="E74" s="18">
        <v>3.2</v>
      </c>
      <c r="F74" s="18">
        <v>17</v>
      </c>
      <c r="G74" s="18">
        <f t="shared" si="16"/>
        <v>13.8</v>
      </c>
      <c r="H74" s="18">
        <f t="shared" si="17"/>
        <v>531.25</v>
      </c>
    </row>
    <row r="75" spans="1:8" ht="34.5" customHeight="1">
      <c r="A75" s="1" t="s">
        <v>206</v>
      </c>
      <c r="B75" s="9">
        <v>3040</v>
      </c>
      <c r="C75" s="18">
        <v>2559.1</v>
      </c>
      <c r="D75" s="18">
        <v>493.6</v>
      </c>
      <c r="E75" s="18">
        <v>1915.9</v>
      </c>
      <c r="F75" s="18">
        <v>493.6</v>
      </c>
      <c r="G75" s="18">
        <f t="shared" si="16"/>
        <v>-1422.3000000000002</v>
      </c>
      <c r="H75" s="18">
        <f t="shared" si="17"/>
        <v>25.763348817787985</v>
      </c>
    </row>
    <row r="76" spans="1:8" ht="45" customHeight="1">
      <c r="A76" s="5" t="s">
        <v>60</v>
      </c>
      <c r="B76" s="6">
        <v>3100</v>
      </c>
      <c r="C76" s="17">
        <f>SUM(C77:C79,C87,C88)</f>
        <v>-56499.099999999991</v>
      </c>
      <c r="D76" s="17">
        <f t="shared" ref="D76:F76" si="18">SUM(D77:D79,D87,D88)</f>
        <v>-72972.399999999994</v>
      </c>
      <c r="E76" s="17">
        <f t="shared" si="18"/>
        <v>-61269.099999999991</v>
      </c>
      <c r="F76" s="17">
        <f t="shared" si="18"/>
        <v>-72972.399999999994</v>
      </c>
      <c r="G76" s="17">
        <f t="shared" si="16"/>
        <v>-11703.300000000003</v>
      </c>
      <c r="H76" s="17">
        <f t="shared" si="17"/>
        <v>119.10147203076266</v>
      </c>
    </row>
    <row r="77" spans="1:8" ht="42" customHeight="1">
      <c r="A77" s="1" t="s">
        <v>61</v>
      </c>
      <c r="B77" s="9">
        <v>3110</v>
      </c>
      <c r="C77" s="18">
        <v>-13090.8</v>
      </c>
      <c r="D77" s="18">
        <v>-18161.099999999999</v>
      </c>
      <c r="E77" s="18">
        <v>-14572.8</v>
      </c>
      <c r="F77" s="18">
        <v>-18161.099999999999</v>
      </c>
      <c r="G77" s="18">
        <f t="shared" si="16"/>
        <v>-3588.2999999999993</v>
      </c>
      <c r="H77" s="18">
        <f t="shared" si="17"/>
        <v>124.62327075098814</v>
      </c>
    </row>
    <row r="78" spans="1:8" ht="36.75" customHeight="1">
      <c r="A78" s="1" t="s">
        <v>62</v>
      </c>
      <c r="B78" s="9">
        <v>3120</v>
      </c>
      <c r="C78" s="18">
        <v>-28386.6</v>
      </c>
      <c r="D78" s="18">
        <v>-35767.599999999999</v>
      </c>
      <c r="E78" s="18">
        <v>-30399.9</v>
      </c>
      <c r="F78" s="18">
        <v>-35767.599999999999</v>
      </c>
      <c r="G78" s="18">
        <f t="shared" si="16"/>
        <v>-5367.6999999999971</v>
      </c>
      <c r="H78" s="18">
        <f t="shared" si="17"/>
        <v>117.65696597686176</v>
      </c>
    </row>
    <row r="79" spans="1:8" ht="48.75" customHeight="1">
      <c r="A79" s="19" t="s">
        <v>63</v>
      </c>
      <c r="B79" s="20">
        <v>3130</v>
      </c>
      <c r="C79" s="21">
        <v>-14639.7</v>
      </c>
      <c r="D79" s="21">
        <v>-18689</v>
      </c>
      <c r="E79" s="21">
        <v>-15809.2</v>
      </c>
      <c r="F79" s="21">
        <v>-18689</v>
      </c>
      <c r="G79" s="21">
        <f t="shared" si="16"/>
        <v>-2879.7999999999993</v>
      </c>
      <c r="H79" s="21">
        <f t="shared" si="17"/>
        <v>118.21597550793209</v>
      </c>
    </row>
    <row r="80" spans="1:8" ht="30" customHeight="1">
      <c r="A80" s="1" t="s">
        <v>64</v>
      </c>
      <c r="B80" s="9">
        <v>3131</v>
      </c>
      <c r="C80" s="17"/>
      <c r="D80" s="17"/>
      <c r="E80" s="17"/>
      <c r="F80" s="17"/>
      <c r="G80" s="17">
        <f t="shared" si="16"/>
        <v>0</v>
      </c>
      <c r="H80" s="250" t="e">
        <f t="shared" si="17"/>
        <v>#DIV/0!</v>
      </c>
    </row>
    <row r="81" spans="1:8" ht="30" customHeight="1">
      <c r="A81" s="1" t="s">
        <v>65</v>
      </c>
      <c r="B81" s="9">
        <v>3132</v>
      </c>
      <c r="C81" s="17"/>
      <c r="D81" s="18">
        <v>-20.9</v>
      </c>
      <c r="E81" s="18"/>
      <c r="F81" s="18">
        <v>-20.9</v>
      </c>
      <c r="G81" s="18">
        <f t="shared" si="16"/>
        <v>-20.9</v>
      </c>
      <c r="H81" s="250" t="e">
        <f t="shared" si="17"/>
        <v>#DIV/0!</v>
      </c>
    </row>
    <row r="82" spans="1:8" ht="30" customHeight="1">
      <c r="A82" s="1" t="s">
        <v>16</v>
      </c>
      <c r="B82" s="9">
        <v>3133</v>
      </c>
      <c r="C82" s="18">
        <v>-6407.9</v>
      </c>
      <c r="D82" s="18">
        <v>-8054.7</v>
      </c>
      <c r="E82" s="18">
        <v>-6906.8</v>
      </c>
      <c r="F82" s="18">
        <v>-8054.7</v>
      </c>
      <c r="G82" s="18">
        <f t="shared" si="16"/>
        <v>-1147.8999999999996</v>
      </c>
      <c r="H82" s="18">
        <f t="shared" si="17"/>
        <v>116.6198528985927</v>
      </c>
    </row>
    <row r="83" spans="1:8" ht="30" customHeight="1">
      <c r="A83" s="1" t="s">
        <v>77</v>
      </c>
      <c r="B83" s="9">
        <v>3134</v>
      </c>
      <c r="C83" s="18">
        <v>-0.8</v>
      </c>
      <c r="D83" s="18">
        <v>-0.6</v>
      </c>
      <c r="E83" s="18">
        <v>-0.6</v>
      </c>
      <c r="F83" s="18">
        <v>-0.6</v>
      </c>
      <c r="G83" s="18">
        <f t="shared" si="16"/>
        <v>0</v>
      </c>
      <c r="H83" s="18">
        <f t="shared" si="17"/>
        <v>100</v>
      </c>
    </row>
    <row r="84" spans="1:8" ht="30" customHeight="1">
      <c r="A84" s="1" t="s">
        <v>78</v>
      </c>
      <c r="B84" s="9">
        <v>3135</v>
      </c>
      <c r="C84" s="18"/>
      <c r="D84" s="18"/>
      <c r="E84" s="18"/>
      <c r="F84" s="18"/>
      <c r="G84" s="18">
        <f t="shared" si="16"/>
        <v>0</v>
      </c>
      <c r="H84" s="250" t="e">
        <f t="shared" si="17"/>
        <v>#DIV/0!</v>
      </c>
    </row>
    <row r="85" spans="1:8" ht="30" customHeight="1">
      <c r="A85" s="1" t="s">
        <v>98</v>
      </c>
      <c r="B85" s="9">
        <v>3136</v>
      </c>
      <c r="C85" s="18">
        <v>-533.9</v>
      </c>
      <c r="D85" s="18">
        <v>-671.1</v>
      </c>
      <c r="E85" s="18">
        <v>-575.6</v>
      </c>
      <c r="F85" s="18">
        <v>-671.1</v>
      </c>
      <c r="G85" s="18">
        <f t="shared" si="16"/>
        <v>-95.5</v>
      </c>
      <c r="H85" s="18">
        <f t="shared" si="17"/>
        <v>116.59138290479501</v>
      </c>
    </row>
    <row r="86" spans="1:8" ht="42" customHeight="1">
      <c r="A86" s="1" t="s">
        <v>99</v>
      </c>
      <c r="B86" s="9">
        <v>3137</v>
      </c>
      <c r="C86" s="18">
        <v>-7697.1</v>
      </c>
      <c r="D86" s="18">
        <v>-9587</v>
      </c>
      <c r="E86" s="18">
        <v>-8326.2000000000007</v>
      </c>
      <c r="F86" s="18">
        <v>-9587</v>
      </c>
      <c r="G86" s="18">
        <f t="shared" si="16"/>
        <v>-1260.7999999999993</v>
      </c>
      <c r="H86" s="18">
        <f t="shared" si="17"/>
        <v>115.14256203310032</v>
      </c>
    </row>
    <row r="87" spans="1:8" ht="30.75" customHeight="1">
      <c r="A87" s="1" t="s">
        <v>17</v>
      </c>
      <c r="B87" s="9">
        <v>3138</v>
      </c>
      <c r="C87" s="18">
        <v>-271.3</v>
      </c>
      <c r="D87" s="18">
        <v>-255.2</v>
      </c>
      <c r="E87" s="18">
        <v>-383.6</v>
      </c>
      <c r="F87" s="18">
        <v>-255.2</v>
      </c>
      <c r="G87" s="18">
        <f t="shared" si="16"/>
        <v>128.40000000000003</v>
      </c>
      <c r="H87" s="18">
        <f t="shared" si="17"/>
        <v>66.527632950990608</v>
      </c>
    </row>
    <row r="88" spans="1:8" ht="27.75" customHeight="1">
      <c r="A88" s="12" t="s">
        <v>83</v>
      </c>
      <c r="B88" s="9">
        <v>3139</v>
      </c>
      <c r="C88" s="18">
        <v>-110.7</v>
      </c>
      <c r="D88" s="18">
        <v>-99.5</v>
      </c>
      <c r="E88" s="18">
        <v>-103.6</v>
      </c>
      <c r="F88" s="18">
        <v>-99.5</v>
      </c>
      <c r="G88" s="18">
        <f t="shared" si="16"/>
        <v>4.0999999999999943</v>
      </c>
      <c r="H88" s="18">
        <f t="shared" si="17"/>
        <v>96.04247104247105</v>
      </c>
    </row>
    <row r="89" spans="1:8" ht="51" customHeight="1">
      <c r="A89" s="22" t="s">
        <v>41</v>
      </c>
      <c r="B89" s="23">
        <v>3160</v>
      </c>
      <c r="C89" s="24">
        <f t="shared" ref="C89:F89" si="19">SUM(C71,C76)</f>
        <v>621.30000000000291</v>
      </c>
      <c r="D89" s="24">
        <f t="shared" si="19"/>
        <v>2800.8000000000175</v>
      </c>
      <c r="E89" s="24">
        <f t="shared" si="19"/>
        <v>-2.8999999999941792</v>
      </c>
      <c r="F89" s="24">
        <f t="shared" si="19"/>
        <v>2800.8000000000175</v>
      </c>
      <c r="G89" s="17">
        <f t="shared" si="16"/>
        <v>2803.7000000000116</v>
      </c>
      <c r="H89" s="17">
        <f t="shared" si="17"/>
        <v>-96579.310345022037</v>
      </c>
    </row>
    <row r="90" spans="1:8" ht="46.5" customHeight="1">
      <c r="A90" s="25" t="s">
        <v>23</v>
      </c>
      <c r="B90" s="26"/>
      <c r="C90" s="27"/>
      <c r="D90" s="27"/>
      <c r="E90" s="27"/>
      <c r="F90" s="27"/>
      <c r="G90" s="17"/>
      <c r="H90" s="17"/>
    </row>
    <row r="91" spans="1:8" ht="43.5" customHeight="1">
      <c r="A91" s="22" t="s">
        <v>66</v>
      </c>
      <c r="B91" s="23">
        <v>3200</v>
      </c>
      <c r="C91" s="24">
        <f>C92</f>
        <v>4033.7</v>
      </c>
      <c r="D91" s="24">
        <f t="shared" ref="D91:F91" si="20">D92</f>
        <v>9723.7999999999993</v>
      </c>
      <c r="E91" s="24">
        <f t="shared" si="20"/>
        <v>7334.4</v>
      </c>
      <c r="F91" s="24">
        <f t="shared" si="20"/>
        <v>9723.7999999999993</v>
      </c>
      <c r="G91" s="17">
        <f t="shared" si="16"/>
        <v>2389.3999999999996</v>
      </c>
      <c r="H91" s="17">
        <f t="shared" si="17"/>
        <v>132.57798865619546</v>
      </c>
    </row>
    <row r="92" spans="1:8" ht="31.5" customHeight="1">
      <c r="A92" s="28" t="s">
        <v>156</v>
      </c>
      <c r="B92" s="26">
        <v>3210</v>
      </c>
      <c r="C92" s="27">
        <v>4033.7</v>
      </c>
      <c r="D92" s="27">
        <v>9723.7999999999993</v>
      </c>
      <c r="E92" s="27">
        <v>7334.4</v>
      </c>
      <c r="F92" s="27">
        <v>9723.7999999999993</v>
      </c>
      <c r="G92" s="18">
        <f t="shared" si="16"/>
        <v>2389.3999999999996</v>
      </c>
      <c r="H92" s="18">
        <f t="shared" si="17"/>
        <v>132.57798865619546</v>
      </c>
    </row>
    <row r="93" spans="1:8" ht="43.5" customHeight="1">
      <c r="A93" s="22" t="s">
        <v>67</v>
      </c>
      <c r="B93" s="23">
        <v>3255</v>
      </c>
      <c r="C93" s="24">
        <f>SUM(C94,C101)</f>
        <v>-4546.5</v>
      </c>
      <c r="D93" s="24">
        <f t="shared" ref="D93:F93" si="21">SUM(D94,D101)</f>
        <v>-10136.1</v>
      </c>
      <c r="E93" s="24">
        <f t="shared" si="21"/>
        <v>-7448.1</v>
      </c>
      <c r="F93" s="24">
        <f t="shared" si="21"/>
        <v>-10136.1</v>
      </c>
      <c r="G93" s="17">
        <f t="shared" si="16"/>
        <v>-2688</v>
      </c>
      <c r="H93" s="17">
        <f t="shared" si="17"/>
        <v>136.0897410077738</v>
      </c>
    </row>
    <row r="94" spans="1:8" ht="50.25" customHeight="1">
      <c r="A94" s="19" t="s">
        <v>101</v>
      </c>
      <c r="B94" s="29">
        <v>3260</v>
      </c>
      <c r="C94" s="30">
        <v>-4546.5</v>
      </c>
      <c r="D94" s="30">
        <v>-10136.1</v>
      </c>
      <c r="E94" s="30">
        <v>-7448.1</v>
      </c>
      <c r="F94" s="30">
        <f t="shared" ref="F94" si="22">SUM(F95:F100)</f>
        <v>-10136.1</v>
      </c>
      <c r="G94" s="21">
        <f t="shared" si="16"/>
        <v>-2688</v>
      </c>
      <c r="H94" s="21">
        <f t="shared" si="17"/>
        <v>136.0897410077738</v>
      </c>
    </row>
    <row r="95" spans="1:8" ht="36.75" customHeight="1">
      <c r="A95" s="31" t="s">
        <v>102</v>
      </c>
      <c r="B95" s="26">
        <v>3265</v>
      </c>
      <c r="C95" s="27"/>
      <c r="D95" s="27"/>
      <c r="E95" s="27"/>
      <c r="F95" s="27"/>
      <c r="G95" s="18">
        <f t="shared" si="16"/>
        <v>0</v>
      </c>
      <c r="H95" s="250" t="e">
        <f t="shared" si="17"/>
        <v>#DIV/0!</v>
      </c>
    </row>
    <row r="96" spans="1:8" ht="51" customHeight="1">
      <c r="A96" s="1" t="s">
        <v>207</v>
      </c>
      <c r="B96" s="26">
        <v>3266</v>
      </c>
      <c r="C96" s="27">
        <v>-1073.3</v>
      </c>
      <c r="D96" s="27">
        <v>-5896.8</v>
      </c>
      <c r="E96" s="27">
        <v>-4927.8</v>
      </c>
      <c r="F96" s="27">
        <v>-5896.8</v>
      </c>
      <c r="G96" s="18">
        <f t="shared" si="16"/>
        <v>-969</v>
      </c>
      <c r="H96" s="18">
        <f t="shared" si="17"/>
        <v>119.66394740046269</v>
      </c>
    </row>
    <row r="97" spans="1:8" ht="51" customHeight="1">
      <c r="A97" s="1" t="s">
        <v>7</v>
      </c>
      <c r="B97" s="26">
        <v>3267</v>
      </c>
      <c r="C97" s="27">
        <v>-394.7</v>
      </c>
      <c r="D97" s="27">
        <v>-562</v>
      </c>
      <c r="E97" s="27">
        <v>-532.79999999999995</v>
      </c>
      <c r="F97" s="27">
        <v>-562</v>
      </c>
      <c r="G97" s="18">
        <f t="shared" si="16"/>
        <v>-29.200000000000045</v>
      </c>
      <c r="H97" s="18">
        <f t="shared" si="17"/>
        <v>105.48048048048048</v>
      </c>
    </row>
    <row r="98" spans="1:8" ht="46.5" customHeight="1">
      <c r="A98" s="1" t="s">
        <v>208</v>
      </c>
      <c r="B98" s="26">
        <v>3268</v>
      </c>
      <c r="C98" s="27"/>
      <c r="D98" s="27"/>
      <c r="E98" s="27"/>
      <c r="F98" s="27"/>
      <c r="G98" s="18">
        <f t="shared" si="16"/>
        <v>0</v>
      </c>
      <c r="H98" s="250" t="e">
        <f t="shared" si="17"/>
        <v>#DIV/0!</v>
      </c>
    </row>
    <row r="99" spans="1:8" ht="61.5" customHeight="1">
      <c r="A99" s="1" t="s">
        <v>103</v>
      </c>
      <c r="B99" s="26">
        <v>3269</v>
      </c>
      <c r="C99" s="27">
        <v>-3037.1</v>
      </c>
      <c r="D99" s="300">
        <v>-2563.8000000000002</v>
      </c>
      <c r="E99" s="27">
        <v>-1987.5</v>
      </c>
      <c r="F99" s="27">
        <v>-2563.8000000000002</v>
      </c>
      <c r="G99" s="18">
        <f t="shared" si="16"/>
        <v>-576.30000000000018</v>
      </c>
      <c r="H99" s="18">
        <f t="shared" si="17"/>
        <v>128.99622641509433</v>
      </c>
    </row>
    <row r="100" spans="1:8" ht="27.75" customHeight="1">
      <c r="A100" s="1" t="s">
        <v>104</v>
      </c>
      <c r="B100" s="26">
        <v>3270</v>
      </c>
      <c r="C100" s="27">
        <v>-41.4</v>
      </c>
      <c r="D100" s="300">
        <v>-1113.5</v>
      </c>
      <c r="E100" s="27"/>
      <c r="F100" s="27">
        <v>-1113.5</v>
      </c>
      <c r="G100" s="18">
        <f t="shared" si="16"/>
        <v>-1113.5</v>
      </c>
      <c r="H100" s="250" t="e">
        <f t="shared" si="17"/>
        <v>#DIV/0!</v>
      </c>
    </row>
    <row r="101" spans="1:8" ht="26.25" customHeight="1">
      <c r="A101" s="1" t="s">
        <v>83</v>
      </c>
      <c r="B101" s="26">
        <v>3280</v>
      </c>
      <c r="C101" s="27"/>
      <c r="D101" s="300"/>
      <c r="E101" s="27"/>
      <c r="F101" s="27"/>
      <c r="G101" s="17">
        <f t="shared" si="16"/>
        <v>0</v>
      </c>
      <c r="H101" s="250" t="e">
        <f t="shared" si="17"/>
        <v>#DIV/0!</v>
      </c>
    </row>
    <row r="102" spans="1:8" ht="47.25" customHeight="1">
      <c r="A102" s="32" t="s">
        <v>24</v>
      </c>
      <c r="B102" s="23">
        <v>3295</v>
      </c>
      <c r="C102" s="24">
        <f t="shared" ref="C102:F102" si="23">SUM(C91,C93)</f>
        <v>-512.80000000000018</v>
      </c>
      <c r="D102" s="24">
        <f t="shared" si="23"/>
        <v>-412.30000000000109</v>
      </c>
      <c r="E102" s="24">
        <f t="shared" si="23"/>
        <v>-113.70000000000073</v>
      </c>
      <c r="F102" s="24">
        <f t="shared" si="23"/>
        <v>-412.30000000000109</v>
      </c>
      <c r="G102" s="17">
        <f t="shared" si="16"/>
        <v>-298.60000000000036</v>
      </c>
      <c r="H102" s="17">
        <f t="shared" si="17"/>
        <v>362.62093227792298</v>
      </c>
    </row>
    <row r="103" spans="1:8" ht="45" customHeight="1">
      <c r="A103" s="15" t="s">
        <v>25</v>
      </c>
      <c r="B103" s="23"/>
      <c r="C103" s="24"/>
      <c r="D103" s="24"/>
      <c r="E103" s="24"/>
      <c r="F103" s="24"/>
      <c r="G103" s="17"/>
      <c r="H103" s="17"/>
    </row>
    <row r="104" spans="1:8" ht="45" customHeight="1">
      <c r="A104" s="32" t="s">
        <v>68</v>
      </c>
      <c r="B104" s="23">
        <v>3300</v>
      </c>
      <c r="C104" s="24">
        <f>SUM(C105:C108)</f>
        <v>0</v>
      </c>
      <c r="D104" s="24">
        <f t="shared" ref="D104:F104" si="24">SUM(D105:D108)</f>
        <v>26.5</v>
      </c>
      <c r="E104" s="24">
        <f t="shared" si="24"/>
        <v>0</v>
      </c>
      <c r="F104" s="24">
        <f t="shared" si="24"/>
        <v>0</v>
      </c>
      <c r="G104" s="17">
        <f t="shared" si="16"/>
        <v>0</v>
      </c>
      <c r="H104" s="251" t="e">
        <f t="shared" si="17"/>
        <v>#DIV/0!</v>
      </c>
    </row>
    <row r="105" spans="1:8" ht="27.75" customHeight="1">
      <c r="A105" s="1" t="s">
        <v>69</v>
      </c>
      <c r="B105" s="26">
        <v>3310</v>
      </c>
      <c r="C105" s="27"/>
      <c r="D105" s="27"/>
      <c r="E105" s="27"/>
      <c r="F105" s="27"/>
      <c r="G105" s="17">
        <f t="shared" si="16"/>
        <v>0</v>
      </c>
      <c r="H105" s="250" t="e">
        <f t="shared" si="17"/>
        <v>#DIV/0!</v>
      </c>
    </row>
    <row r="106" spans="1:8" ht="45" customHeight="1">
      <c r="A106" s="1" t="s">
        <v>178</v>
      </c>
      <c r="B106" s="26">
        <v>3320</v>
      </c>
      <c r="C106" s="27"/>
      <c r="D106" s="27"/>
      <c r="E106" s="27"/>
      <c r="F106" s="27"/>
      <c r="G106" s="17">
        <f t="shared" si="16"/>
        <v>0</v>
      </c>
      <c r="H106" s="250" t="e">
        <f t="shared" si="17"/>
        <v>#DIV/0!</v>
      </c>
    </row>
    <row r="107" spans="1:8" ht="44.25" customHeight="1">
      <c r="A107" s="1" t="s">
        <v>105</v>
      </c>
      <c r="B107" s="26">
        <v>3330</v>
      </c>
      <c r="C107" s="27"/>
      <c r="D107" s="27"/>
      <c r="E107" s="27"/>
      <c r="F107" s="27"/>
      <c r="G107" s="17">
        <f t="shared" si="16"/>
        <v>0</v>
      </c>
      <c r="H107" s="250" t="e">
        <f t="shared" si="17"/>
        <v>#DIV/0!</v>
      </c>
    </row>
    <row r="108" spans="1:8" ht="27.75" customHeight="1">
      <c r="A108" s="1" t="s">
        <v>206</v>
      </c>
      <c r="B108" s="26">
        <v>3340</v>
      </c>
      <c r="C108" s="27"/>
      <c r="D108" s="27">
        <v>26.5</v>
      </c>
      <c r="E108" s="27"/>
      <c r="F108" s="27"/>
      <c r="G108" s="17">
        <f t="shared" si="16"/>
        <v>0</v>
      </c>
      <c r="H108" s="250" t="e">
        <f t="shared" si="17"/>
        <v>#DIV/0!</v>
      </c>
    </row>
    <row r="109" spans="1:8" ht="47.25" customHeight="1">
      <c r="A109" s="33" t="s">
        <v>70</v>
      </c>
      <c r="B109" s="23">
        <v>3345</v>
      </c>
      <c r="C109" s="24">
        <f>SUM(C110:C113)</f>
        <v>0</v>
      </c>
      <c r="D109" s="24">
        <f t="shared" ref="D109:F109" si="25">SUM(D110:D113)</f>
        <v>0</v>
      </c>
      <c r="E109" s="24">
        <f t="shared" si="25"/>
        <v>0</v>
      </c>
      <c r="F109" s="24">
        <f t="shared" si="25"/>
        <v>0</v>
      </c>
      <c r="G109" s="17">
        <f t="shared" si="16"/>
        <v>0</v>
      </c>
      <c r="H109" s="251" t="e">
        <f t="shared" si="17"/>
        <v>#DIV/0!</v>
      </c>
    </row>
    <row r="110" spans="1:8" ht="48" customHeight="1">
      <c r="A110" s="1" t="s">
        <v>177</v>
      </c>
      <c r="B110" s="26">
        <v>3350</v>
      </c>
      <c r="C110" s="24"/>
      <c r="D110" s="24"/>
      <c r="E110" s="24"/>
      <c r="F110" s="24"/>
      <c r="G110" s="17">
        <f t="shared" si="16"/>
        <v>0</v>
      </c>
      <c r="H110" s="250" t="e">
        <f t="shared" si="17"/>
        <v>#DIV/0!</v>
      </c>
    </row>
    <row r="111" spans="1:8" ht="30.75" customHeight="1">
      <c r="A111" s="1" t="s">
        <v>106</v>
      </c>
      <c r="B111" s="26">
        <v>3355</v>
      </c>
      <c r="C111" s="24"/>
      <c r="D111" s="24"/>
      <c r="E111" s="24"/>
      <c r="F111" s="24"/>
      <c r="G111" s="17">
        <f t="shared" si="16"/>
        <v>0</v>
      </c>
      <c r="H111" s="250" t="e">
        <f t="shared" si="17"/>
        <v>#DIV/0!</v>
      </c>
    </row>
    <row r="112" spans="1:8" ht="45" customHeight="1">
      <c r="A112" s="1" t="s">
        <v>107</v>
      </c>
      <c r="B112" s="26">
        <v>3360</v>
      </c>
      <c r="C112" s="24"/>
      <c r="D112" s="24"/>
      <c r="E112" s="24"/>
      <c r="F112" s="24"/>
      <c r="G112" s="17">
        <f t="shared" si="16"/>
        <v>0</v>
      </c>
      <c r="H112" s="250" t="e">
        <f t="shared" si="17"/>
        <v>#DIV/0!</v>
      </c>
    </row>
    <row r="113" spans="1:8" ht="33" customHeight="1">
      <c r="A113" s="1" t="s">
        <v>83</v>
      </c>
      <c r="B113" s="26">
        <v>3365</v>
      </c>
      <c r="C113" s="24"/>
      <c r="D113" s="24"/>
      <c r="E113" s="24"/>
      <c r="F113" s="24"/>
      <c r="G113" s="17">
        <f t="shared" si="16"/>
        <v>0</v>
      </c>
      <c r="H113" s="250" t="e">
        <f t="shared" si="17"/>
        <v>#DIV/0!</v>
      </c>
    </row>
    <row r="114" spans="1:8" ht="40.5" customHeight="1">
      <c r="A114" s="33" t="s">
        <v>26</v>
      </c>
      <c r="B114" s="23">
        <v>3370</v>
      </c>
      <c r="C114" s="24">
        <f>SUM(C104,C109)</f>
        <v>0</v>
      </c>
      <c r="D114" s="24">
        <f t="shared" ref="D114:F114" si="26">SUM(D104,D109)</f>
        <v>26.5</v>
      </c>
      <c r="E114" s="24">
        <f t="shared" si="26"/>
        <v>0</v>
      </c>
      <c r="F114" s="24">
        <f t="shared" si="26"/>
        <v>0</v>
      </c>
      <c r="G114" s="17">
        <f t="shared" si="16"/>
        <v>0</v>
      </c>
      <c r="H114" s="251" t="e">
        <f t="shared" si="17"/>
        <v>#DIV/0!</v>
      </c>
    </row>
    <row r="115" spans="1:8" ht="30.75" customHeight="1">
      <c r="A115" s="33" t="s">
        <v>8</v>
      </c>
      <c r="B115" s="23">
        <v>3400</v>
      </c>
      <c r="C115" s="24">
        <f t="shared" ref="C115:E115" si="27">SUM(C89,C102,C114)</f>
        <v>108.50000000000273</v>
      </c>
      <c r="D115" s="24">
        <f t="shared" si="27"/>
        <v>2415.0000000000164</v>
      </c>
      <c r="E115" s="24">
        <f t="shared" si="27"/>
        <v>-116.59999999999491</v>
      </c>
      <c r="F115" s="301">
        <v>2415</v>
      </c>
      <c r="G115" s="17">
        <f>F115-E115</f>
        <v>2531.5999999999949</v>
      </c>
      <c r="H115" s="17"/>
    </row>
    <row r="116" spans="1:8" ht="30.75" customHeight="1">
      <c r="A116" s="1" t="s">
        <v>108</v>
      </c>
      <c r="B116" s="26">
        <v>3405</v>
      </c>
      <c r="C116" s="24">
        <v>11.6</v>
      </c>
      <c r="D116" s="24">
        <v>120.1</v>
      </c>
      <c r="E116" s="24">
        <v>116.6</v>
      </c>
      <c r="F116" s="301">
        <v>120.1</v>
      </c>
      <c r="G116" s="17">
        <f t="shared" ref="G116:G117" si="28">F116-E116</f>
        <v>3.5</v>
      </c>
      <c r="H116" s="17">
        <f t="shared" ref="H116" si="29">F116/E116*100</f>
        <v>103.00171526586621</v>
      </c>
    </row>
    <row r="117" spans="1:8" ht="30.75" customHeight="1">
      <c r="A117" s="32" t="s">
        <v>109</v>
      </c>
      <c r="B117" s="15">
        <v>3415</v>
      </c>
      <c r="C117" s="17">
        <f>SUM(C116,C115)</f>
        <v>120.10000000000272</v>
      </c>
      <c r="D117" s="17">
        <f t="shared" ref="D117" si="30">SUM(D116,D115)</f>
        <v>2535.1000000000163</v>
      </c>
      <c r="E117" s="17">
        <f>SUM(E116,E115)</f>
        <v>5.0874859880423173E-12</v>
      </c>
      <c r="F117" s="293">
        <f t="shared" ref="F117" si="31">SUM(F116,F115)</f>
        <v>2535.1</v>
      </c>
      <c r="G117" s="17">
        <f t="shared" si="28"/>
        <v>2535.0999999999949</v>
      </c>
      <c r="H117" s="17"/>
    </row>
    <row r="118" spans="1:8" ht="24.95" customHeight="1">
      <c r="A118" s="342" t="s">
        <v>161</v>
      </c>
      <c r="B118" s="343"/>
      <c r="C118" s="343"/>
      <c r="D118" s="343"/>
      <c r="E118" s="343"/>
      <c r="F118" s="343"/>
      <c r="G118" s="343"/>
      <c r="H118" s="343"/>
    </row>
    <row r="119" spans="1:8" ht="27.75" customHeight="1">
      <c r="A119" s="34" t="s">
        <v>28</v>
      </c>
      <c r="B119" s="6">
        <v>4000</v>
      </c>
      <c r="C119" s="7">
        <f>SUM(C120:C126)</f>
        <v>-4746.0999999999995</v>
      </c>
      <c r="D119" s="7">
        <f>SUM(D120:D126)</f>
        <v>-18145.099999999999</v>
      </c>
      <c r="E119" s="7">
        <f>SUM(E120:E126)</f>
        <v>-7448.1</v>
      </c>
      <c r="F119" s="7">
        <f>SUM(F120:F126)</f>
        <v>-18145.099999999999</v>
      </c>
      <c r="G119" s="7">
        <f>F119-E119</f>
        <v>-10696.999999999998</v>
      </c>
      <c r="H119" s="7">
        <f>(F119/E119)*100</f>
        <v>243.62052066970094</v>
      </c>
    </row>
    <row r="120" spans="1:8" ht="37.5" customHeight="1">
      <c r="A120" s="35" t="s">
        <v>102</v>
      </c>
      <c r="B120" s="9">
        <v>4010</v>
      </c>
      <c r="C120" s="10" t="s">
        <v>37</v>
      </c>
      <c r="D120" s="10" t="s">
        <v>37</v>
      </c>
      <c r="E120" s="10" t="s">
        <v>37</v>
      </c>
      <c r="F120" s="10" t="s">
        <v>37</v>
      </c>
      <c r="G120" s="247" t="e">
        <f t="shared" ref="G120:G126" si="32">F120-E120</f>
        <v>#VALUE!</v>
      </c>
      <c r="H120" s="247" t="e">
        <f t="shared" ref="H120:H126" si="33">(F120/E120)*100</f>
        <v>#VALUE!</v>
      </c>
    </row>
    <row r="121" spans="1:8" ht="48.75" customHeight="1">
      <c r="A121" s="36" t="s">
        <v>207</v>
      </c>
      <c r="B121" s="9">
        <v>4020</v>
      </c>
      <c r="C121" s="10">
        <v>-1272.9000000000001</v>
      </c>
      <c r="D121" s="10">
        <v>-6122.8</v>
      </c>
      <c r="E121" s="10">
        <v>-4927.8</v>
      </c>
      <c r="F121" s="10">
        <v>-6122.8</v>
      </c>
      <c r="G121" s="10">
        <f t="shared" si="32"/>
        <v>-1195</v>
      </c>
      <c r="H121" s="10">
        <f t="shared" si="33"/>
        <v>124.25017249076666</v>
      </c>
    </row>
    <row r="122" spans="1:8" ht="48.75" customHeight="1">
      <c r="A122" s="36" t="s">
        <v>121</v>
      </c>
      <c r="B122" s="9">
        <v>4030</v>
      </c>
      <c r="C122" s="10">
        <v>-394.7</v>
      </c>
      <c r="D122" s="10">
        <v>-988.7</v>
      </c>
      <c r="E122" s="10">
        <v>-532.79999999999995</v>
      </c>
      <c r="F122" s="10">
        <v>-988.7</v>
      </c>
      <c r="G122" s="10">
        <f t="shared" si="32"/>
        <v>-455.90000000000009</v>
      </c>
      <c r="H122" s="10">
        <f t="shared" si="33"/>
        <v>185.56681681681684</v>
      </c>
    </row>
    <row r="123" spans="1:8" ht="49.5" customHeight="1">
      <c r="A123" s="36" t="s">
        <v>208</v>
      </c>
      <c r="B123" s="9">
        <v>4040</v>
      </c>
      <c r="C123" s="10" t="s">
        <v>37</v>
      </c>
      <c r="D123" s="10" t="s">
        <v>37</v>
      </c>
      <c r="E123" s="10" t="s">
        <v>37</v>
      </c>
      <c r="F123" s="10" t="s">
        <v>37</v>
      </c>
      <c r="G123" s="247" t="e">
        <f t="shared" si="32"/>
        <v>#VALUE!</v>
      </c>
      <c r="H123" s="247" t="e">
        <f t="shared" si="33"/>
        <v>#VALUE!</v>
      </c>
    </row>
    <row r="124" spans="1:8" ht="73.5" customHeight="1">
      <c r="A124" s="36" t="s">
        <v>103</v>
      </c>
      <c r="B124" s="9">
        <v>4050</v>
      </c>
      <c r="C124" s="10">
        <v>-3037.1</v>
      </c>
      <c r="D124" s="10">
        <v>-9920.1</v>
      </c>
      <c r="E124" s="10">
        <v>-1987.5</v>
      </c>
      <c r="F124" s="10">
        <v>-9920.1</v>
      </c>
      <c r="G124" s="10">
        <f t="shared" si="32"/>
        <v>-7932.6</v>
      </c>
      <c r="H124" s="10">
        <f t="shared" si="33"/>
        <v>499.12452830188681</v>
      </c>
    </row>
    <row r="125" spans="1:8" ht="36.75" customHeight="1">
      <c r="A125" s="36" t="s">
        <v>104</v>
      </c>
      <c r="B125" s="9">
        <v>4060</v>
      </c>
      <c r="C125" s="10">
        <v>-41.4</v>
      </c>
      <c r="D125" s="10">
        <v>-1113.5</v>
      </c>
      <c r="E125" s="10"/>
      <c r="F125" s="10">
        <v>-1113.5</v>
      </c>
      <c r="G125" s="283">
        <f t="shared" si="32"/>
        <v>-1113.5</v>
      </c>
      <c r="H125" s="247" t="e">
        <f t="shared" si="33"/>
        <v>#DIV/0!</v>
      </c>
    </row>
    <row r="126" spans="1:8" ht="39.75" customHeight="1" thickBot="1">
      <c r="A126" s="37" t="s">
        <v>83</v>
      </c>
      <c r="B126" s="38">
        <v>4070</v>
      </c>
      <c r="C126" s="10" t="s">
        <v>37</v>
      </c>
      <c r="D126" s="10"/>
      <c r="E126" s="10" t="s">
        <v>37</v>
      </c>
      <c r="F126" s="10" t="s">
        <v>37</v>
      </c>
      <c r="G126" s="247" t="e">
        <f t="shared" si="32"/>
        <v>#VALUE!</v>
      </c>
      <c r="H126" s="247" t="e">
        <f t="shared" si="33"/>
        <v>#VALUE!</v>
      </c>
    </row>
    <row r="127" spans="1:8" s="198" customFormat="1" ht="29.25" customHeight="1">
      <c r="A127" s="339" t="s">
        <v>162</v>
      </c>
      <c r="B127" s="339"/>
      <c r="C127" s="339"/>
      <c r="D127" s="339"/>
      <c r="E127" s="339"/>
      <c r="F127" s="339"/>
      <c r="G127" s="339"/>
      <c r="H127" s="339"/>
    </row>
    <row r="128" spans="1:8" ht="48.75" customHeight="1">
      <c r="A128" s="5" t="s">
        <v>71</v>
      </c>
      <c r="B128" s="6" t="s">
        <v>42</v>
      </c>
      <c r="C128" s="7">
        <f>SUM(C129:C131)</f>
        <v>0</v>
      </c>
      <c r="D128" s="7">
        <f t="shared" ref="D128:F128" si="34">SUM(D129:D131)</f>
        <v>0</v>
      </c>
      <c r="E128" s="7">
        <f t="shared" si="34"/>
        <v>0</v>
      </c>
      <c r="F128" s="7">
        <f t="shared" si="34"/>
        <v>0</v>
      </c>
      <c r="G128" s="7">
        <f>F128-E128</f>
        <v>0</v>
      </c>
      <c r="H128" s="249" t="e">
        <f>(F128/E128)*100</f>
        <v>#DIV/0!</v>
      </c>
    </row>
    <row r="129" spans="1:8" ht="36.75" customHeight="1">
      <c r="A129" s="12" t="s">
        <v>122</v>
      </c>
      <c r="B129" s="9" t="s">
        <v>43</v>
      </c>
      <c r="C129" s="10"/>
      <c r="D129" s="10"/>
      <c r="E129" s="10"/>
      <c r="F129" s="10"/>
      <c r="G129" s="10">
        <f t="shared" ref="G129:G135" si="35">F129-E129</f>
        <v>0</v>
      </c>
      <c r="H129" s="247" t="e">
        <f t="shared" ref="H129:H135" si="36">(F129/E129)*100</f>
        <v>#DIV/0!</v>
      </c>
    </row>
    <row r="130" spans="1:8" ht="34.5" customHeight="1">
      <c r="A130" s="12" t="s">
        <v>123</v>
      </c>
      <c r="B130" s="9" t="s">
        <v>44</v>
      </c>
      <c r="C130" s="10"/>
      <c r="D130" s="10"/>
      <c r="E130" s="10"/>
      <c r="F130" s="10"/>
      <c r="G130" s="10">
        <f t="shared" si="35"/>
        <v>0</v>
      </c>
      <c r="H130" s="247" t="e">
        <f t="shared" si="36"/>
        <v>#DIV/0!</v>
      </c>
    </row>
    <row r="131" spans="1:8" ht="35.25" customHeight="1">
      <c r="A131" s="12" t="s">
        <v>124</v>
      </c>
      <c r="B131" s="9" t="s">
        <v>45</v>
      </c>
      <c r="C131" s="10"/>
      <c r="D131" s="10"/>
      <c r="E131" s="10"/>
      <c r="F131" s="10"/>
      <c r="G131" s="10">
        <f t="shared" si="35"/>
        <v>0</v>
      </c>
      <c r="H131" s="247" t="e">
        <f t="shared" si="36"/>
        <v>#DIV/0!</v>
      </c>
    </row>
    <row r="132" spans="1:8" ht="46.5" customHeight="1">
      <c r="A132" s="5" t="s">
        <v>72</v>
      </c>
      <c r="B132" s="6" t="s">
        <v>46</v>
      </c>
      <c r="C132" s="7">
        <f>SUM(C133:C135)</f>
        <v>0</v>
      </c>
      <c r="D132" s="7">
        <f t="shared" ref="D132:F132" si="37">SUM(D133:D135)</f>
        <v>0</v>
      </c>
      <c r="E132" s="7">
        <f t="shared" si="37"/>
        <v>0</v>
      </c>
      <c r="F132" s="7">
        <f t="shared" si="37"/>
        <v>0</v>
      </c>
      <c r="G132" s="7">
        <f t="shared" si="35"/>
        <v>0</v>
      </c>
      <c r="H132" s="249" t="e">
        <f t="shared" si="36"/>
        <v>#DIV/0!</v>
      </c>
    </row>
    <row r="133" spans="1:8" ht="36.75" customHeight="1">
      <c r="A133" s="12" t="s">
        <v>122</v>
      </c>
      <c r="B133" s="9" t="s">
        <v>47</v>
      </c>
      <c r="C133" s="10"/>
      <c r="D133" s="10"/>
      <c r="E133" s="10"/>
      <c r="F133" s="10"/>
      <c r="G133" s="10">
        <f t="shared" si="35"/>
        <v>0</v>
      </c>
      <c r="H133" s="247" t="e">
        <f t="shared" si="36"/>
        <v>#DIV/0!</v>
      </c>
    </row>
    <row r="134" spans="1:8" ht="36.75" customHeight="1">
      <c r="A134" s="12" t="s">
        <v>123</v>
      </c>
      <c r="B134" s="9" t="s">
        <v>48</v>
      </c>
      <c r="C134" s="10"/>
      <c r="D134" s="10"/>
      <c r="E134" s="10"/>
      <c r="F134" s="10"/>
      <c r="G134" s="10">
        <f t="shared" si="35"/>
        <v>0</v>
      </c>
      <c r="H134" s="247" t="e">
        <f t="shared" si="36"/>
        <v>#DIV/0!</v>
      </c>
    </row>
    <row r="135" spans="1:8" ht="34.5" customHeight="1">
      <c r="A135" s="12" t="s">
        <v>124</v>
      </c>
      <c r="B135" s="9" t="s">
        <v>49</v>
      </c>
      <c r="C135" s="10"/>
      <c r="D135" s="10"/>
      <c r="E135" s="10"/>
      <c r="F135" s="10"/>
      <c r="G135" s="10">
        <f t="shared" si="35"/>
        <v>0</v>
      </c>
      <c r="H135" s="247" t="e">
        <f t="shared" si="36"/>
        <v>#DIV/0!</v>
      </c>
    </row>
    <row r="136" spans="1:8" ht="34.5" customHeight="1">
      <c r="A136" s="339" t="s">
        <v>163</v>
      </c>
      <c r="B136" s="339"/>
      <c r="C136" s="339"/>
      <c r="D136" s="339"/>
      <c r="E136" s="339"/>
      <c r="F136" s="339"/>
      <c r="G136" s="339"/>
      <c r="H136" s="339"/>
    </row>
    <row r="137" spans="1:8" s="87" customFormat="1" ht="86.25" customHeight="1">
      <c r="A137" s="14" t="s">
        <v>209</v>
      </c>
      <c r="B137" s="39" t="s">
        <v>50</v>
      </c>
      <c r="C137" s="17">
        <f>SUM(C138:C140)</f>
        <v>592</v>
      </c>
      <c r="D137" s="17">
        <f t="shared" ref="D137:F137" si="38">SUM(D138:D140)</f>
        <v>566</v>
      </c>
      <c r="E137" s="17">
        <f t="shared" si="38"/>
        <v>567</v>
      </c>
      <c r="F137" s="17">
        <f t="shared" si="38"/>
        <v>566</v>
      </c>
      <c r="G137" s="17">
        <f>F137-E137</f>
        <v>-1</v>
      </c>
      <c r="H137" s="17">
        <f>(F137/E137)*100</f>
        <v>99.82363315696648</v>
      </c>
    </row>
    <row r="138" spans="1:8" ht="27.75" customHeight="1">
      <c r="A138" s="12" t="s">
        <v>32</v>
      </c>
      <c r="B138" s="9" t="s">
        <v>51</v>
      </c>
      <c r="C138" s="18">
        <v>1</v>
      </c>
      <c r="D138" s="18">
        <v>1</v>
      </c>
      <c r="E138" s="18">
        <v>1</v>
      </c>
      <c r="F138" s="18">
        <v>1</v>
      </c>
      <c r="G138" s="18">
        <f t="shared" ref="G138:G152" si="39">F138-E138</f>
        <v>0</v>
      </c>
      <c r="H138" s="18">
        <f t="shared" ref="H138:H152" si="40">(F138/E138)*100</f>
        <v>100</v>
      </c>
    </row>
    <row r="139" spans="1:8" ht="27.75" customHeight="1">
      <c r="A139" s="12" t="s">
        <v>35</v>
      </c>
      <c r="B139" s="9" t="s">
        <v>52</v>
      </c>
      <c r="C139" s="18">
        <v>70</v>
      </c>
      <c r="D139" s="18">
        <v>60</v>
      </c>
      <c r="E139" s="18">
        <v>61</v>
      </c>
      <c r="F139" s="18">
        <v>60</v>
      </c>
      <c r="G139" s="18">
        <f t="shared" si="39"/>
        <v>-1</v>
      </c>
      <c r="H139" s="18">
        <f t="shared" si="40"/>
        <v>98.360655737704917</v>
      </c>
    </row>
    <row r="140" spans="1:8" ht="27.75" customHeight="1">
      <c r="A140" s="12" t="s">
        <v>33</v>
      </c>
      <c r="B140" s="9" t="s">
        <v>53</v>
      </c>
      <c r="C140" s="18">
        <v>521</v>
      </c>
      <c r="D140" s="18">
        <v>505</v>
      </c>
      <c r="E140" s="18">
        <v>505</v>
      </c>
      <c r="F140" s="18">
        <v>505</v>
      </c>
      <c r="G140" s="18">
        <f t="shared" si="39"/>
        <v>0</v>
      </c>
      <c r="H140" s="18">
        <f t="shared" si="40"/>
        <v>100</v>
      </c>
    </row>
    <row r="141" spans="1:8" ht="27.75" customHeight="1">
      <c r="A141" s="5" t="s">
        <v>125</v>
      </c>
      <c r="B141" s="6" t="s">
        <v>54</v>
      </c>
      <c r="C141" s="17">
        <f>SUM(C142:C144)</f>
        <v>35599.699999999997</v>
      </c>
      <c r="D141" s="17">
        <f t="shared" ref="D141:F141" si="41">SUM(D142:D144)</f>
        <v>44270.8</v>
      </c>
      <c r="E141" s="17">
        <f t="shared" si="41"/>
        <v>9592.4</v>
      </c>
      <c r="F141" s="17">
        <f t="shared" si="41"/>
        <v>44270.8</v>
      </c>
      <c r="G141" s="17">
        <f t="shared" si="39"/>
        <v>34678.400000000001</v>
      </c>
      <c r="H141" s="17">
        <f t="shared" si="40"/>
        <v>461.51953629957052</v>
      </c>
    </row>
    <row r="142" spans="1:8" ht="27.75" customHeight="1">
      <c r="A142" s="12" t="s">
        <v>32</v>
      </c>
      <c r="B142" s="9">
        <v>8011</v>
      </c>
      <c r="C142" s="18">
        <v>384.5</v>
      </c>
      <c r="D142" s="18">
        <v>366.2</v>
      </c>
      <c r="E142" s="252">
        <v>55.6</v>
      </c>
      <c r="F142" s="252">
        <v>366.2</v>
      </c>
      <c r="G142" s="18">
        <f t="shared" si="39"/>
        <v>310.59999999999997</v>
      </c>
      <c r="H142" s="18">
        <f t="shared" si="40"/>
        <v>658.63309352517979</v>
      </c>
    </row>
    <row r="143" spans="1:8" ht="27.75" customHeight="1">
      <c r="A143" s="12" t="s">
        <v>35</v>
      </c>
      <c r="B143" s="9">
        <v>8012</v>
      </c>
      <c r="C143" s="18">
        <v>3871.5</v>
      </c>
      <c r="D143" s="18">
        <v>2704.2</v>
      </c>
      <c r="E143" s="252">
        <v>777.4</v>
      </c>
      <c r="F143" s="252">
        <v>2704.2</v>
      </c>
      <c r="G143" s="18">
        <f t="shared" si="39"/>
        <v>1926.7999999999997</v>
      </c>
      <c r="H143" s="18">
        <f t="shared" si="40"/>
        <v>347.85181373810133</v>
      </c>
    </row>
    <row r="144" spans="1:8" ht="27.75" customHeight="1">
      <c r="A144" s="12" t="s">
        <v>33</v>
      </c>
      <c r="B144" s="9">
        <v>8013</v>
      </c>
      <c r="C144" s="18">
        <v>31343.7</v>
      </c>
      <c r="D144" s="18">
        <v>41200.400000000001</v>
      </c>
      <c r="E144" s="252">
        <v>8759.4</v>
      </c>
      <c r="F144" s="252">
        <v>41200.400000000001</v>
      </c>
      <c r="G144" s="18">
        <f t="shared" si="39"/>
        <v>32441</v>
      </c>
      <c r="H144" s="18">
        <f t="shared" si="40"/>
        <v>470.3564171061945</v>
      </c>
    </row>
    <row r="145" spans="1:9" ht="27.75" customHeight="1">
      <c r="A145" s="5" t="s">
        <v>2</v>
      </c>
      <c r="B145" s="6">
        <v>8020</v>
      </c>
      <c r="C145" s="17">
        <f>SUM(C146:C148)</f>
        <v>35599.699999999997</v>
      </c>
      <c r="D145" s="17">
        <f t="shared" ref="D145:E145" si="42">SUM(D146:D148)</f>
        <v>44748.600000000006</v>
      </c>
      <c r="E145" s="17">
        <f t="shared" si="42"/>
        <v>9592.4</v>
      </c>
      <c r="F145" s="253">
        <f>SUM(F146:F148)</f>
        <v>44748.600000000006</v>
      </c>
      <c r="G145" s="17">
        <f t="shared" si="39"/>
        <v>35156.200000000004</v>
      </c>
      <c r="H145" s="17">
        <f t="shared" si="40"/>
        <v>466.50056294566537</v>
      </c>
    </row>
    <row r="146" spans="1:9" ht="27.75" customHeight="1">
      <c r="A146" s="12" t="s">
        <v>32</v>
      </c>
      <c r="B146" s="9">
        <v>8021</v>
      </c>
      <c r="C146" s="18">
        <v>384.5</v>
      </c>
      <c r="D146" s="18">
        <v>366.2</v>
      </c>
      <c r="E146" s="252">
        <v>55.6</v>
      </c>
      <c r="F146" s="252">
        <v>366.2</v>
      </c>
      <c r="G146" s="18">
        <f t="shared" si="39"/>
        <v>310.59999999999997</v>
      </c>
      <c r="H146" s="18">
        <f t="shared" si="40"/>
        <v>658.63309352517979</v>
      </c>
    </row>
    <row r="147" spans="1:9" ht="27.75" customHeight="1">
      <c r="A147" s="12" t="s">
        <v>35</v>
      </c>
      <c r="B147" s="9">
        <v>8022</v>
      </c>
      <c r="C147" s="18">
        <v>3871.5</v>
      </c>
      <c r="D147" s="18">
        <v>3109.6</v>
      </c>
      <c r="E147" s="252">
        <v>777.4</v>
      </c>
      <c r="F147" s="252">
        <v>3109.6</v>
      </c>
      <c r="G147" s="18">
        <f t="shared" si="39"/>
        <v>2332.1999999999998</v>
      </c>
      <c r="H147" s="18">
        <f t="shared" si="40"/>
        <v>400</v>
      </c>
    </row>
    <row r="148" spans="1:9" ht="27.75" customHeight="1">
      <c r="A148" s="12" t="s">
        <v>33</v>
      </c>
      <c r="B148" s="9">
        <v>8023</v>
      </c>
      <c r="C148" s="18">
        <v>31343.7</v>
      </c>
      <c r="D148" s="18">
        <v>41272.800000000003</v>
      </c>
      <c r="E148" s="252">
        <v>8759.4</v>
      </c>
      <c r="F148" s="252">
        <v>41272.800000000003</v>
      </c>
      <c r="G148" s="18">
        <f t="shared" si="39"/>
        <v>32513.4</v>
      </c>
      <c r="H148" s="18">
        <f t="shared" si="40"/>
        <v>471.18295773683133</v>
      </c>
    </row>
    <row r="149" spans="1:9" s="87" customFormat="1" ht="66" customHeight="1">
      <c r="A149" s="14" t="s">
        <v>82</v>
      </c>
      <c r="B149" s="39" t="s">
        <v>126</v>
      </c>
      <c r="C149" s="40">
        <f>(C145/C137)/12*1000</f>
        <v>5011.2190315315311</v>
      </c>
      <c r="D149" s="40">
        <f>(D145/D137)/12*1000</f>
        <v>6588.4275618374568</v>
      </c>
      <c r="E149" s="40">
        <f t="shared" ref="D149:F149" si="43">(E145/E137)/12*1000</f>
        <v>1409.8177542621988</v>
      </c>
      <c r="F149" s="40">
        <f t="shared" si="43"/>
        <v>6588.4275618374568</v>
      </c>
      <c r="G149" s="40">
        <f t="shared" si="39"/>
        <v>5178.6098075752579</v>
      </c>
      <c r="H149" s="17">
        <f t="shared" si="40"/>
        <v>467.32476888726546</v>
      </c>
    </row>
    <row r="150" spans="1:9" ht="27.75" customHeight="1">
      <c r="A150" s="12" t="s">
        <v>32</v>
      </c>
      <c r="B150" s="9">
        <v>8031</v>
      </c>
      <c r="C150" s="254">
        <f>(C146/C138)/12*1000</f>
        <v>32041.666666666664</v>
      </c>
      <c r="D150" s="254">
        <f>(D146/D138)/12*1000</f>
        <v>30516.666666666664</v>
      </c>
      <c r="E150" s="41">
        <f>(E146/E138)/12*1000</f>
        <v>4633.3333333333339</v>
      </c>
      <c r="F150" s="41">
        <f>(F146/F138)/12*1000</f>
        <v>30516.666666666664</v>
      </c>
      <c r="G150" s="41">
        <f t="shared" si="39"/>
        <v>25883.333333333328</v>
      </c>
      <c r="H150" s="18">
        <f t="shared" si="40"/>
        <v>658.63309352517967</v>
      </c>
    </row>
    <row r="151" spans="1:9" ht="27.75" customHeight="1">
      <c r="A151" s="12" t="s">
        <v>35</v>
      </c>
      <c r="B151" s="9">
        <v>8032</v>
      </c>
      <c r="C151" s="254">
        <f>(C147/C139)/12*1000</f>
        <v>4608.9285714285716</v>
      </c>
      <c r="D151" s="254">
        <f t="shared" ref="D151:D152" si="44">(D147/D139)/12*1000</f>
        <v>4318.8888888888887</v>
      </c>
      <c r="E151" s="41">
        <f t="shared" ref="E151:F152" si="45">(E147/E139)/12*1000</f>
        <v>1062.0218579234972</v>
      </c>
      <c r="F151" s="41">
        <f t="shared" si="45"/>
        <v>4318.8888888888887</v>
      </c>
      <c r="G151" s="41">
        <f t="shared" si="39"/>
        <v>3256.8670309653917</v>
      </c>
      <c r="H151" s="18">
        <f t="shared" si="40"/>
        <v>406.66666666666663</v>
      </c>
    </row>
    <row r="152" spans="1:9" ht="27.75" customHeight="1">
      <c r="A152" s="12" t="s">
        <v>33</v>
      </c>
      <c r="B152" s="9">
        <v>8033</v>
      </c>
      <c r="C152" s="254">
        <f>(C148/C140)/12*1000</f>
        <v>5013.3877159309022</v>
      </c>
      <c r="D152" s="254">
        <f t="shared" si="44"/>
        <v>6810.6930693069316</v>
      </c>
      <c r="E152" s="41">
        <f t="shared" si="45"/>
        <v>1445.4455445544554</v>
      </c>
      <c r="F152" s="41">
        <f t="shared" si="45"/>
        <v>6810.6930693069316</v>
      </c>
      <c r="G152" s="41">
        <f t="shared" si="39"/>
        <v>5365.2475247524762</v>
      </c>
      <c r="H152" s="18">
        <f t="shared" si="40"/>
        <v>471.18295773683138</v>
      </c>
    </row>
    <row r="153" spans="1:9" s="87" customFormat="1">
      <c r="A153" s="199"/>
      <c r="C153" s="200"/>
      <c r="D153" s="201"/>
      <c r="E153" s="202"/>
      <c r="F153" s="202"/>
      <c r="G153" s="202"/>
      <c r="H153" s="202"/>
    </row>
    <row r="154" spans="1:9" s="87" customFormat="1">
      <c r="A154" s="199"/>
      <c r="C154" s="200"/>
      <c r="D154" s="201"/>
      <c r="E154" s="202"/>
      <c r="F154" s="202"/>
      <c r="G154" s="202"/>
      <c r="H154" s="202"/>
    </row>
    <row r="155" spans="1:9" s="87" customFormat="1" ht="28.5" customHeight="1">
      <c r="A155" s="94" t="s">
        <v>138</v>
      </c>
      <c r="B155" s="203"/>
      <c r="C155" s="337" t="s">
        <v>20</v>
      </c>
      <c r="D155" s="338"/>
      <c r="E155" s="204"/>
      <c r="F155" s="204"/>
      <c r="G155" s="332" t="s">
        <v>625</v>
      </c>
      <c r="H155" s="332"/>
      <c r="I155" s="272"/>
    </row>
    <row r="156" spans="1:9" s="87" customFormat="1">
      <c r="A156" s="87" t="s">
        <v>12</v>
      </c>
      <c r="B156" s="195"/>
      <c r="C156" s="335" t="s">
        <v>13</v>
      </c>
      <c r="D156" s="335"/>
      <c r="E156" s="196"/>
      <c r="F156" s="196"/>
      <c r="G156" s="336" t="s">
        <v>19</v>
      </c>
      <c r="H156" s="336"/>
    </row>
    <row r="157" spans="1:9" s="87" customFormat="1">
      <c r="A157" s="205"/>
      <c r="E157" s="195"/>
      <c r="F157" s="195"/>
      <c r="G157" s="195"/>
      <c r="H157" s="195"/>
    </row>
    <row r="158" spans="1:9" s="87" customFormat="1">
      <c r="A158" s="205"/>
      <c r="E158" s="195"/>
      <c r="F158" s="195"/>
      <c r="G158" s="195"/>
      <c r="H158" s="195"/>
    </row>
    <row r="159" spans="1:9" s="87" customFormat="1">
      <c r="A159" s="205"/>
      <c r="E159" s="195"/>
      <c r="F159" s="195"/>
      <c r="G159" s="195"/>
      <c r="H159" s="195"/>
    </row>
    <row r="160" spans="1:9" s="87" customFormat="1">
      <c r="A160" s="205"/>
      <c r="E160" s="195"/>
      <c r="F160" s="195"/>
      <c r="G160" s="195"/>
      <c r="H160" s="195"/>
    </row>
    <row r="161" spans="1:8" s="87" customFormat="1">
      <c r="A161" s="205"/>
      <c r="E161" s="195"/>
      <c r="F161" s="195"/>
      <c r="G161" s="195"/>
      <c r="H161" s="195"/>
    </row>
    <row r="162" spans="1:8" s="87" customFormat="1">
      <c r="A162" s="205"/>
      <c r="E162" s="195"/>
      <c r="F162" s="195"/>
      <c r="G162" s="195"/>
      <c r="H162" s="195"/>
    </row>
    <row r="163" spans="1:8" s="87" customFormat="1">
      <c r="A163" s="205"/>
      <c r="E163" s="195"/>
      <c r="F163" s="195"/>
      <c r="G163" s="195"/>
      <c r="H163" s="195"/>
    </row>
    <row r="164" spans="1:8" s="87" customFormat="1">
      <c r="A164" s="205"/>
      <c r="E164" s="195"/>
      <c r="F164" s="195"/>
      <c r="G164" s="195"/>
      <c r="H164" s="195"/>
    </row>
    <row r="165" spans="1:8" s="87" customFormat="1">
      <c r="A165" s="205"/>
      <c r="E165" s="195"/>
      <c r="F165" s="195"/>
      <c r="G165" s="195"/>
      <c r="H165" s="195"/>
    </row>
    <row r="166" spans="1:8" s="87" customFormat="1">
      <c r="A166" s="205"/>
      <c r="E166" s="195"/>
      <c r="F166" s="195"/>
      <c r="G166" s="195"/>
      <c r="H166" s="195"/>
    </row>
    <row r="167" spans="1:8" s="87" customFormat="1">
      <c r="A167" s="205"/>
      <c r="E167" s="195"/>
      <c r="F167" s="195"/>
      <c r="G167" s="195"/>
      <c r="H167" s="195"/>
    </row>
    <row r="168" spans="1:8" s="87" customFormat="1">
      <c r="A168" s="205"/>
      <c r="E168" s="195"/>
      <c r="F168" s="195"/>
      <c r="G168" s="195"/>
      <c r="H168" s="195"/>
    </row>
    <row r="169" spans="1:8" s="87" customFormat="1">
      <c r="A169" s="205"/>
      <c r="E169" s="195"/>
      <c r="F169" s="195"/>
      <c r="G169" s="195"/>
      <c r="H169" s="195"/>
    </row>
    <row r="170" spans="1:8" s="87" customFormat="1">
      <c r="A170" s="205"/>
      <c r="E170" s="195"/>
      <c r="F170" s="195"/>
      <c r="G170" s="195"/>
      <c r="H170" s="195"/>
    </row>
    <row r="171" spans="1:8" s="87" customFormat="1">
      <c r="A171" s="205"/>
      <c r="E171" s="195"/>
      <c r="F171" s="195"/>
      <c r="G171" s="195"/>
      <c r="H171" s="195"/>
    </row>
    <row r="172" spans="1:8" s="87" customFormat="1">
      <c r="A172" s="205"/>
      <c r="E172" s="195"/>
      <c r="F172" s="195"/>
      <c r="G172" s="195"/>
      <c r="H172" s="195"/>
    </row>
    <row r="173" spans="1:8" s="87" customFormat="1">
      <c r="A173" s="205"/>
      <c r="E173" s="195"/>
      <c r="F173" s="195"/>
      <c r="G173" s="195"/>
      <c r="H173" s="195"/>
    </row>
    <row r="174" spans="1:8" s="87" customFormat="1">
      <c r="A174" s="205"/>
      <c r="E174" s="195"/>
      <c r="F174" s="195"/>
      <c r="G174" s="195"/>
      <c r="H174" s="195"/>
    </row>
    <row r="175" spans="1:8" s="87" customFormat="1">
      <c r="A175" s="205"/>
      <c r="E175" s="195"/>
      <c r="F175" s="195"/>
      <c r="G175" s="195"/>
      <c r="H175" s="195"/>
    </row>
    <row r="176" spans="1:8" s="87" customFormat="1">
      <c r="A176" s="205"/>
      <c r="E176" s="195"/>
      <c r="F176" s="195"/>
      <c r="G176" s="195"/>
      <c r="H176" s="195"/>
    </row>
    <row r="177" spans="1:8" s="87" customFormat="1">
      <c r="A177" s="205"/>
      <c r="E177" s="195"/>
      <c r="F177" s="195"/>
      <c r="G177" s="195"/>
      <c r="H177" s="195"/>
    </row>
    <row r="178" spans="1:8" s="87" customFormat="1">
      <c r="A178" s="205"/>
      <c r="E178" s="195"/>
      <c r="F178" s="195"/>
      <c r="G178" s="195"/>
      <c r="H178" s="195"/>
    </row>
    <row r="179" spans="1:8" s="87" customFormat="1">
      <c r="A179" s="205"/>
      <c r="E179" s="195"/>
      <c r="F179" s="195"/>
      <c r="G179" s="195"/>
      <c r="H179" s="195"/>
    </row>
    <row r="180" spans="1:8" s="87" customFormat="1">
      <c r="A180" s="205"/>
      <c r="E180" s="195"/>
      <c r="F180" s="195"/>
      <c r="G180" s="195"/>
      <c r="H180" s="195"/>
    </row>
    <row r="181" spans="1:8" s="87" customFormat="1">
      <c r="A181" s="205"/>
      <c r="E181" s="195"/>
      <c r="F181" s="195"/>
      <c r="G181" s="195"/>
      <c r="H181" s="195"/>
    </row>
    <row r="182" spans="1:8" s="87" customFormat="1">
      <c r="A182" s="205"/>
      <c r="E182" s="195"/>
      <c r="F182" s="195"/>
      <c r="G182" s="195"/>
      <c r="H182" s="195"/>
    </row>
    <row r="183" spans="1:8" s="87" customFormat="1">
      <c r="A183" s="205"/>
      <c r="E183" s="195"/>
      <c r="F183" s="195"/>
      <c r="G183" s="195"/>
      <c r="H183" s="195"/>
    </row>
    <row r="184" spans="1:8" s="87" customFormat="1">
      <c r="A184" s="205"/>
      <c r="E184" s="195"/>
      <c r="F184" s="195"/>
      <c r="G184" s="195"/>
      <c r="H184" s="195"/>
    </row>
    <row r="185" spans="1:8" s="87" customFormat="1">
      <c r="A185" s="205"/>
      <c r="E185" s="195"/>
      <c r="F185" s="195"/>
      <c r="G185" s="195"/>
      <c r="H185" s="195"/>
    </row>
    <row r="186" spans="1:8" s="87" customFormat="1">
      <c r="A186" s="205"/>
      <c r="E186" s="195"/>
      <c r="F186" s="195"/>
      <c r="G186" s="195"/>
      <c r="H186" s="195"/>
    </row>
    <row r="187" spans="1:8" s="87" customFormat="1">
      <c r="A187" s="205"/>
      <c r="E187" s="195"/>
      <c r="F187" s="195"/>
      <c r="G187" s="195"/>
      <c r="H187" s="195"/>
    </row>
    <row r="188" spans="1:8" s="87" customFormat="1">
      <c r="A188" s="205"/>
      <c r="E188" s="195"/>
      <c r="F188" s="195"/>
      <c r="G188" s="195"/>
      <c r="H188" s="195"/>
    </row>
    <row r="189" spans="1:8" s="87" customFormat="1">
      <c r="A189" s="205"/>
      <c r="E189" s="195"/>
      <c r="F189" s="195"/>
      <c r="G189" s="195"/>
      <c r="H189" s="195"/>
    </row>
    <row r="190" spans="1:8" s="87" customFormat="1">
      <c r="A190" s="205"/>
      <c r="E190" s="195"/>
      <c r="F190" s="195"/>
      <c r="G190" s="195"/>
      <c r="H190" s="195"/>
    </row>
    <row r="191" spans="1:8" s="87" customFormat="1">
      <c r="A191" s="205"/>
      <c r="E191" s="195"/>
      <c r="F191" s="195"/>
      <c r="G191" s="195"/>
      <c r="H191" s="195"/>
    </row>
    <row r="192" spans="1:8" s="87" customFormat="1">
      <c r="A192" s="205"/>
      <c r="E192" s="195"/>
      <c r="F192" s="195"/>
      <c r="G192" s="195"/>
      <c r="H192" s="195"/>
    </row>
    <row r="193" spans="1:8" s="87" customFormat="1">
      <c r="A193" s="205"/>
      <c r="E193" s="195"/>
      <c r="F193" s="195"/>
      <c r="G193" s="195"/>
      <c r="H193" s="195"/>
    </row>
    <row r="194" spans="1:8" s="87" customFormat="1">
      <c r="A194" s="205"/>
      <c r="E194" s="195"/>
      <c r="F194" s="195"/>
      <c r="G194" s="195"/>
      <c r="H194" s="195"/>
    </row>
    <row r="195" spans="1:8" s="87" customFormat="1">
      <c r="A195" s="205"/>
      <c r="E195" s="195"/>
      <c r="F195" s="195"/>
      <c r="G195" s="195"/>
      <c r="H195" s="195"/>
    </row>
    <row r="196" spans="1:8" s="87" customFormat="1">
      <c r="A196" s="205"/>
      <c r="E196" s="195"/>
      <c r="F196" s="195"/>
      <c r="G196" s="195"/>
      <c r="H196" s="195"/>
    </row>
    <row r="197" spans="1:8" s="87" customFormat="1">
      <c r="A197" s="205"/>
      <c r="E197" s="195"/>
      <c r="F197" s="195"/>
      <c r="G197" s="195"/>
      <c r="H197" s="195"/>
    </row>
    <row r="198" spans="1:8" s="87" customFormat="1">
      <c r="A198" s="205"/>
      <c r="E198" s="195"/>
      <c r="F198" s="195"/>
      <c r="G198" s="195"/>
      <c r="H198" s="195"/>
    </row>
    <row r="199" spans="1:8" s="87" customFormat="1">
      <c r="A199" s="205"/>
      <c r="E199" s="195"/>
      <c r="F199" s="195"/>
      <c r="G199" s="195"/>
      <c r="H199" s="195"/>
    </row>
    <row r="200" spans="1:8" s="87" customFormat="1">
      <c r="A200" s="205"/>
      <c r="E200" s="195"/>
      <c r="F200" s="195"/>
      <c r="G200" s="195"/>
      <c r="H200" s="195"/>
    </row>
    <row r="201" spans="1:8" s="87" customFormat="1">
      <c r="A201" s="205"/>
      <c r="E201" s="195"/>
      <c r="F201" s="195"/>
      <c r="G201" s="195"/>
      <c r="H201" s="195"/>
    </row>
    <row r="202" spans="1:8" s="87" customFormat="1">
      <c r="A202" s="205"/>
      <c r="E202" s="195"/>
      <c r="F202" s="195"/>
      <c r="G202" s="195"/>
      <c r="H202" s="195"/>
    </row>
    <row r="203" spans="1:8" s="87" customFormat="1">
      <c r="A203" s="205"/>
      <c r="E203" s="195"/>
      <c r="F203" s="195"/>
      <c r="G203" s="195"/>
      <c r="H203" s="195"/>
    </row>
    <row r="204" spans="1:8" s="87" customFormat="1">
      <c r="A204" s="205"/>
      <c r="E204" s="195"/>
      <c r="F204" s="195"/>
      <c r="G204" s="195"/>
      <c r="H204" s="195"/>
    </row>
    <row r="205" spans="1:8" s="87" customFormat="1">
      <c r="A205" s="205"/>
      <c r="E205" s="195"/>
      <c r="F205" s="195"/>
      <c r="G205" s="195"/>
      <c r="H205" s="195"/>
    </row>
    <row r="206" spans="1:8" s="87" customFormat="1">
      <c r="A206" s="205"/>
      <c r="E206" s="195"/>
      <c r="F206" s="195"/>
      <c r="G206" s="195"/>
      <c r="H206" s="195"/>
    </row>
    <row r="207" spans="1:8" s="87" customFormat="1">
      <c r="A207" s="205"/>
      <c r="E207" s="195"/>
      <c r="F207" s="195"/>
      <c r="G207" s="195"/>
      <c r="H207" s="195"/>
    </row>
    <row r="208" spans="1:8" s="87" customFormat="1">
      <c r="A208" s="205"/>
      <c r="E208" s="195"/>
      <c r="F208" s="195"/>
      <c r="G208" s="195"/>
      <c r="H208" s="195"/>
    </row>
    <row r="209" spans="1:8" s="87" customFormat="1">
      <c r="A209" s="205"/>
      <c r="E209" s="195"/>
      <c r="F209" s="195"/>
      <c r="G209" s="195"/>
      <c r="H209" s="195"/>
    </row>
    <row r="210" spans="1:8" s="87" customFormat="1">
      <c r="A210" s="205"/>
      <c r="E210" s="195"/>
      <c r="F210" s="195"/>
      <c r="G210" s="195"/>
      <c r="H210" s="195"/>
    </row>
    <row r="211" spans="1:8" s="87" customFormat="1">
      <c r="A211" s="205"/>
      <c r="E211" s="195"/>
      <c r="F211" s="195"/>
      <c r="G211" s="195"/>
      <c r="H211" s="195"/>
    </row>
    <row r="212" spans="1:8" s="87" customFormat="1">
      <c r="A212" s="205"/>
      <c r="E212" s="195"/>
      <c r="F212" s="195"/>
      <c r="G212" s="195"/>
      <c r="H212" s="195"/>
    </row>
    <row r="213" spans="1:8" s="87" customFormat="1">
      <c r="A213" s="205"/>
      <c r="E213" s="195"/>
      <c r="F213" s="195"/>
      <c r="G213" s="195"/>
      <c r="H213" s="195"/>
    </row>
    <row r="214" spans="1:8" s="87" customFormat="1">
      <c r="A214" s="205"/>
      <c r="E214" s="195"/>
      <c r="F214" s="195"/>
      <c r="G214" s="195"/>
      <c r="H214" s="195"/>
    </row>
    <row r="215" spans="1:8" s="87" customFormat="1">
      <c r="A215" s="205"/>
      <c r="E215" s="195"/>
      <c r="F215" s="195"/>
      <c r="G215" s="195"/>
      <c r="H215" s="195"/>
    </row>
    <row r="216" spans="1:8" s="87" customFormat="1">
      <c r="A216" s="205"/>
      <c r="E216" s="195"/>
      <c r="F216" s="195"/>
      <c r="G216" s="195"/>
      <c r="H216" s="195"/>
    </row>
    <row r="217" spans="1:8" s="87" customFormat="1">
      <c r="A217" s="205"/>
      <c r="E217" s="195"/>
      <c r="F217" s="195"/>
      <c r="G217" s="195"/>
      <c r="H217" s="195"/>
    </row>
    <row r="218" spans="1:8" s="87" customFormat="1">
      <c r="A218" s="205"/>
      <c r="E218" s="195"/>
      <c r="F218" s="195"/>
      <c r="G218" s="195"/>
      <c r="H218" s="195"/>
    </row>
    <row r="219" spans="1:8" s="87" customFormat="1">
      <c r="A219" s="205"/>
      <c r="E219" s="195"/>
      <c r="F219" s="195"/>
      <c r="G219" s="195"/>
      <c r="H219" s="195"/>
    </row>
    <row r="220" spans="1:8" s="87" customFormat="1">
      <c r="A220" s="205"/>
      <c r="E220" s="195"/>
      <c r="F220" s="195"/>
      <c r="G220" s="195"/>
      <c r="H220" s="195"/>
    </row>
    <row r="221" spans="1:8" s="87" customFormat="1">
      <c r="A221" s="205"/>
      <c r="E221" s="195"/>
      <c r="F221" s="195"/>
      <c r="G221" s="195"/>
      <c r="H221" s="195"/>
    </row>
    <row r="222" spans="1:8" s="87" customFormat="1">
      <c r="A222" s="205"/>
      <c r="E222" s="195"/>
      <c r="F222" s="195"/>
      <c r="G222" s="195"/>
      <c r="H222" s="195"/>
    </row>
    <row r="223" spans="1:8" s="87" customFormat="1">
      <c r="A223" s="205"/>
      <c r="E223" s="195"/>
      <c r="F223" s="195"/>
      <c r="G223" s="195"/>
      <c r="H223" s="195"/>
    </row>
    <row r="224" spans="1:8" s="87" customFormat="1">
      <c r="A224" s="205"/>
      <c r="E224" s="195"/>
      <c r="F224" s="195"/>
      <c r="G224" s="195"/>
      <c r="H224" s="195"/>
    </row>
    <row r="225" spans="1:8" s="87" customFormat="1">
      <c r="A225" s="205"/>
      <c r="E225" s="195"/>
      <c r="F225" s="195"/>
      <c r="G225" s="195"/>
      <c r="H225" s="195"/>
    </row>
    <row r="226" spans="1:8" s="87" customFormat="1">
      <c r="A226" s="205"/>
      <c r="E226" s="195"/>
      <c r="F226" s="195"/>
      <c r="G226" s="195"/>
      <c r="H226" s="195"/>
    </row>
    <row r="227" spans="1:8" s="87" customFormat="1">
      <c r="A227" s="205"/>
      <c r="E227" s="195"/>
      <c r="F227" s="195"/>
      <c r="G227" s="195"/>
      <c r="H227" s="195"/>
    </row>
    <row r="228" spans="1:8" s="87" customFormat="1">
      <c r="A228" s="205"/>
      <c r="E228" s="195"/>
      <c r="F228" s="195"/>
      <c r="G228" s="195"/>
      <c r="H228" s="195"/>
    </row>
    <row r="229" spans="1:8" s="87" customFormat="1">
      <c r="A229" s="205"/>
      <c r="E229" s="195"/>
      <c r="F229" s="195"/>
      <c r="G229" s="195"/>
      <c r="H229" s="195"/>
    </row>
    <row r="230" spans="1:8" s="87" customFormat="1">
      <c r="A230" s="205"/>
      <c r="E230" s="195"/>
      <c r="F230" s="195"/>
      <c r="G230" s="195"/>
      <c r="H230" s="195"/>
    </row>
    <row r="231" spans="1:8" s="87" customFormat="1">
      <c r="A231" s="205"/>
      <c r="E231" s="195"/>
      <c r="F231" s="195"/>
      <c r="G231" s="195"/>
      <c r="H231" s="195"/>
    </row>
    <row r="232" spans="1:8" s="87" customFormat="1">
      <c r="A232" s="205"/>
      <c r="E232" s="195"/>
      <c r="F232" s="195"/>
      <c r="G232" s="195"/>
      <c r="H232" s="195"/>
    </row>
    <row r="233" spans="1:8" s="87" customFormat="1">
      <c r="A233" s="205"/>
      <c r="E233" s="195"/>
      <c r="F233" s="195"/>
      <c r="G233" s="195"/>
      <c r="H233" s="195"/>
    </row>
    <row r="234" spans="1:8" s="87" customFormat="1">
      <c r="A234" s="205"/>
      <c r="E234" s="195"/>
      <c r="F234" s="195"/>
      <c r="G234" s="195"/>
      <c r="H234" s="195"/>
    </row>
    <row r="235" spans="1:8" s="87" customFormat="1">
      <c r="A235" s="205"/>
      <c r="E235" s="195"/>
      <c r="F235" s="195"/>
      <c r="G235" s="195"/>
      <c r="H235" s="195"/>
    </row>
    <row r="236" spans="1:8" s="87" customFormat="1">
      <c r="A236" s="205"/>
      <c r="E236" s="195"/>
      <c r="F236" s="195"/>
      <c r="G236" s="195"/>
      <c r="H236" s="195"/>
    </row>
    <row r="237" spans="1:8" s="87" customFormat="1">
      <c r="A237" s="205"/>
      <c r="E237" s="195"/>
      <c r="F237" s="195"/>
      <c r="G237" s="195"/>
      <c r="H237" s="195"/>
    </row>
    <row r="238" spans="1:8" s="87" customFormat="1">
      <c r="A238" s="205"/>
      <c r="E238" s="195"/>
      <c r="F238" s="195"/>
      <c r="G238" s="195"/>
      <c r="H238" s="195"/>
    </row>
    <row r="239" spans="1:8" s="87" customFormat="1">
      <c r="A239" s="205"/>
      <c r="E239" s="195"/>
      <c r="F239" s="195"/>
      <c r="G239" s="195"/>
      <c r="H239" s="195"/>
    </row>
    <row r="240" spans="1:8" s="87" customFormat="1">
      <c r="A240" s="205"/>
      <c r="E240" s="195"/>
      <c r="F240" s="195"/>
      <c r="G240" s="195"/>
      <c r="H240" s="195"/>
    </row>
    <row r="241" spans="1:8" s="87" customFormat="1">
      <c r="A241" s="205"/>
      <c r="E241" s="195"/>
      <c r="F241" s="195"/>
      <c r="G241" s="195"/>
      <c r="H241" s="195"/>
    </row>
    <row r="242" spans="1:8" s="87" customFormat="1">
      <c r="A242" s="205"/>
      <c r="E242" s="195"/>
      <c r="F242" s="195"/>
      <c r="G242" s="195"/>
      <c r="H242" s="195"/>
    </row>
    <row r="243" spans="1:8" s="87" customFormat="1">
      <c r="A243" s="205"/>
      <c r="E243" s="195"/>
      <c r="F243" s="195"/>
      <c r="G243" s="195"/>
      <c r="H243" s="195"/>
    </row>
    <row r="244" spans="1:8" s="87" customFormat="1">
      <c r="A244" s="205"/>
      <c r="E244" s="195"/>
      <c r="F244" s="195"/>
      <c r="G244" s="195"/>
      <c r="H244" s="195"/>
    </row>
    <row r="245" spans="1:8" s="87" customFormat="1">
      <c r="A245" s="205"/>
      <c r="E245" s="195"/>
      <c r="F245" s="195"/>
      <c r="G245" s="195"/>
      <c r="H245" s="195"/>
    </row>
    <row r="246" spans="1:8" s="87" customFormat="1">
      <c r="A246" s="205"/>
      <c r="E246" s="195"/>
      <c r="F246" s="195"/>
      <c r="G246" s="195"/>
      <c r="H246" s="195"/>
    </row>
    <row r="247" spans="1:8" s="87" customFormat="1">
      <c r="A247" s="205"/>
      <c r="E247" s="195"/>
      <c r="F247" s="195"/>
      <c r="G247" s="195"/>
      <c r="H247" s="195"/>
    </row>
    <row r="248" spans="1:8" s="87" customFormat="1">
      <c r="A248" s="205"/>
      <c r="E248" s="195"/>
      <c r="F248" s="195"/>
      <c r="G248" s="195"/>
      <c r="H248" s="195"/>
    </row>
    <row r="249" spans="1:8" s="87" customFormat="1">
      <c r="A249" s="205"/>
      <c r="E249" s="195"/>
      <c r="F249" s="195"/>
      <c r="G249" s="195"/>
      <c r="H249" s="195"/>
    </row>
    <row r="250" spans="1:8" s="87" customFormat="1">
      <c r="A250" s="205"/>
      <c r="E250" s="195"/>
      <c r="F250" s="195"/>
      <c r="G250" s="195"/>
      <c r="H250" s="195"/>
    </row>
    <row r="251" spans="1:8" s="87" customFormat="1">
      <c r="A251" s="205"/>
      <c r="E251" s="195"/>
      <c r="F251" s="195"/>
      <c r="G251" s="195"/>
      <c r="H251" s="195"/>
    </row>
    <row r="252" spans="1:8" s="87" customFormat="1">
      <c r="A252" s="205"/>
      <c r="E252" s="195"/>
      <c r="F252" s="195"/>
      <c r="G252" s="195"/>
      <c r="H252" s="195"/>
    </row>
    <row r="253" spans="1:8" s="87" customFormat="1">
      <c r="A253" s="205"/>
      <c r="E253" s="195"/>
      <c r="F253" s="195"/>
      <c r="G253" s="195"/>
      <c r="H253" s="195"/>
    </row>
    <row r="254" spans="1:8" s="87" customFormat="1">
      <c r="A254" s="205"/>
      <c r="E254" s="195"/>
      <c r="F254" s="195"/>
      <c r="G254" s="195"/>
      <c r="H254" s="195"/>
    </row>
    <row r="255" spans="1:8" s="87" customFormat="1">
      <c r="A255" s="205"/>
      <c r="E255" s="195"/>
      <c r="F255" s="195"/>
      <c r="G255" s="195"/>
      <c r="H255" s="195"/>
    </row>
    <row r="256" spans="1:8" s="87" customFormat="1">
      <c r="A256" s="205"/>
      <c r="E256" s="195"/>
      <c r="F256" s="195"/>
      <c r="G256" s="195"/>
      <c r="H256" s="195"/>
    </row>
    <row r="257" spans="1:8" s="87" customFormat="1">
      <c r="A257" s="205"/>
      <c r="E257" s="195"/>
      <c r="F257" s="195"/>
      <c r="G257" s="195"/>
      <c r="H257" s="195"/>
    </row>
    <row r="258" spans="1:8" s="87" customFormat="1">
      <c r="A258" s="205"/>
      <c r="E258" s="195"/>
      <c r="F258" s="195"/>
      <c r="G258" s="195"/>
      <c r="H258" s="195"/>
    </row>
    <row r="259" spans="1:8" s="87" customFormat="1">
      <c r="A259" s="205"/>
      <c r="E259" s="195"/>
      <c r="F259" s="195"/>
      <c r="G259" s="195"/>
      <c r="H259" s="195"/>
    </row>
    <row r="260" spans="1:8" s="87" customFormat="1">
      <c r="A260" s="205"/>
      <c r="E260" s="195"/>
      <c r="F260" s="195"/>
      <c r="G260" s="195"/>
      <c r="H260" s="195"/>
    </row>
    <row r="261" spans="1:8" s="87" customFormat="1">
      <c r="A261" s="205"/>
      <c r="E261" s="195"/>
      <c r="F261" s="195"/>
      <c r="G261" s="195"/>
      <c r="H261" s="195"/>
    </row>
    <row r="262" spans="1:8" s="87" customFormat="1">
      <c r="A262" s="205"/>
      <c r="E262" s="195"/>
      <c r="F262" s="195"/>
      <c r="G262" s="195"/>
      <c r="H262" s="195"/>
    </row>
    <row r="263" spans="1:8" s="87" customFormat="1">
      <c r="A263" s="205"/>
      <c r="E263" s="195"/>
      <c r="F263" s="195"/>
      <c r="G263" s="195"/>
      <c r="H263" s="195"/>
    </row>
    <row r="264" spans="1:8" s="87" customFormat="1">
      <c r="A264" s="205"/>
      <c r="E264" s="195"/>
      <c r="F264" s="195"/>
      <c r="G264" s="195"/>
      <c r="H264" s="195"/>
    </row>
    <row r="265" spans="1:8" s="87" customFormat="1">
      <c r="A265" s="205"/>
      <c r="E265" s="195"/>
      <c r="F265" s="195"/>
      <c r="G265" s="195"/>
      <c r="H265" s="195"/>
    </row>
    <row r="266" spans="1:8" s="87" customFormat="1">
      <c r="A266" s="205"/>
      <c r="E266" s="195"/>
      <c r="F266" s="195"/>
      <c r="G266" s="195"/>
      <c r="H266" s="195"/>
    </row>
    <row r="267" spans="1:8" s="87" customFormat="1">
      <c r="A267" s="205"/>
      <c r="E267" s="195"/>
      <c r="F267" s="195"/>
      <c r="G267" s="195"/>
      <c r="H267" s="195"/>
    </row>
    <row r="268" spans="1:8" s="87" customFormat="1">
      <c r="A268" s="205"/>
      <c r="E268" s="195"/>
      <c r="F268" s="195"/>
      <c r="G268" s="195"/>
      <c r="H268" s="195"/>
    </row>
    <row r="269" spans="1:8" s="87" customFormat="1">
      <c r="A269" s="205"/>
      <c r="E269" s="195"/>
      <c r="F269" s="195"/>
      <c r="G269" s="195"/>
      <c r="H269" s="195"/>
    </row>
    <row r="270" spans="1:8" s="87" customFormat="1">
      <c r="A270" s="205"/>
      <c r="E270" s="195"/>
      <c r="F270" s="195"/>
      <c r="G270" s="195"/>
      <c r="H270" s="195"/>
    </row>
    <row r="271" spans="1:8" s="87" customFormat="1">
      <c r="A271" s="205"/>
      <c r="E271" s="195"/>
      <c r="F271" s="195"/>
      <c r="G271" s="195"/>
      <c r="H271" s="195"/>
    </row>
    <row r="272" spans="1:8" s="87" customFormat="1">
      <c r="A272" s="205"/>
      <c r="E272" s="195"/>
      <c r="F272" s="195"/>
      <c r="G272" s="195"/>
      <c r="H272" s="195"/>
    </row>
    <row r="273" spans="1:8" s="87" customFormat="1">
      <c r="A273" s="205"/>
      <c r="E273" s="195"/>
      <c r="F273" s="195"/>
      <c r="G273" s="195"/>
      <c r="H273" s="195"/>
    </row>
    <row r="274" spans="1:8" s="87" customFormat="1">
      <c r="A274" s="205"/>
      <c r="E274" s="195"/>
      <c r="F274" s="195"/>
      <c r="G274" s="195"/>
      <c r="H274" s="195"/>
    </row>
    <row r="275" spans="1:8" s="87" customFormat="1">
      <c r="A275" s="205"/>
      <c r="E275" s="195"/>
      <c r="F275" s="195"/>
      <c r="G275" s="195"/>
      <c r="H275" s="195"/>
    </row>
    <row r="276" spans="1:8" s="87" customFormat="1">
      <c r="A276" s="205"/>
      <c r="E276" s="195"/>
      <c r="F276" s="195"/>
      <c r="G276" s="195"/>
      <c r="H276" s="195"/>
    </row>
    <row r="277" spans="1:8" s="87" customFormat="1">
      <c r="A277" s="205"/>
      <c r="E277" s="195"/>
      <c r="F277" s="195"/>
      <c r="G277" s="195"/>
      <c r="H277" s="195"/>
    </row>
    <row r="278" spans="1:8" s="87" customFormat="1">
      <c r="A278" s="205"/>
      <c r="E278" s="195"/>
      <c r="F278" s="195"/>
      <c r="G278" s="195"/>
      <c r="H278" s="195"/>
    </row>
    <row r="279" spans="1:8" s="87" customFormat="1">
      <c r="A279" s="205"/>
      <c r="E279" s="195"/>
      <c r="F279" s="195"/>
      <c r="G279" s="195"/>
      <c r="H279" s="195"/>
    </row>
    <row r="280" spans="1:8" s="87" customFormat="1">
      <c r="A280" s="205"/>
      <c r="E280" s="195"/>
      <c r="F280" s="195"/>
      <c r="G280" s="195"/>
      <c r="H280" s="195"/>
    </row>
    <row r="281" spans="1:8" s="87" customFormat="1">
      <c r="A281" s="205"/>
      <c r="E281" s="195"/>
      <c r="F281" s="195"/>
      <c r="G281" s="195"/>
      <c r="H281" s="195"/>
    </row>
    <row r="282" spans="1:8" s="87" customFormat="1">
      <c r="A282" s="205"/>
      <c r="E282" s="195"/>
      <c r="F282" s="195"/>
      <c r="G282" s="195"/>
      <c r="H282" s="195"/>
    </row>
    <row r="283" spans="1:8" s="87" customFormat="1">
      <c r="A283" s="205"/>
      <c r="E283" s="195"/>
      <c r="F283" s="195"/>
      <c r="G283" s="195"/>
      <c r="H283" s="195"/>
    </row>
    <row r="284" spans="1:8" s="87" customFormat="1">
      <c r="A284" s="205"/>
      <c r="E284" s="195"/>
      <c r="F284" s="195"/>
      <c r="G284" s="195"/>
      <c r="H284" s="195"/>
    </row>
    <row r="285" spans="1:8" s="87" customFormat="1">
      <c r="A285" s="205"/>
      <c r="E285" s="195"/>
      <c r="F285" s="195"/>
      <c r="G285" s="195"/>
      <c r="H285" s="195"/>
    </row>
    <row r="286" spans="1:8" s="87" customFormat="1">
      <c r="A286" s="205"/>
      <c r="E286" s="195"/>
      <c r="F286" s="195"/>
      <c r="G286" s="195"/>
      <c r="H286" s="195"/>
    </row>
    <row r="287" spans="1:8" s="87" customFormat="1">
      <c r="A287" s="205"/>
      <c r="E287" s="195"/>
      <c r="F287" s="195"/>
      <c r="G287" s="195"/>
      <c r="H287" s="195"/>
    </row>
    <row r="288" spans="1:8" s="87" customFormat="1">
      <c r="A288" s="205"/>
      <c r="E288" s="195"/>
      <c r="F288" s="195"/>
      <c r="G288" s="195"/>
      <c r="H288" s="195"/>
    </row>
    <row r="289" spans="1:8" s="87" customFormat="1">
      <c r="A289" s="205"/>
      <c r="E289" s="195"/>
      <c r="F289" s="195"/>
      <c r="G289" s="195"/>
      <c r="H289" s="195"/>
    </row>
    <row r="290" spans="1:8" s="87" customFormat="1">
      <c r="A290" s="205"/>
      <c r="E290" s="195"/>
      <c r="F290" s="195"/>
      <c r="G290" s="195"/>
      <c r="H290" s="195"/>
    </row>
    <row r="291" spans="1:8" s="87" customFormat="1">
      <c r="A291" s="205"/>
      <c r="E291" s="195"/>
      <c r="F291" s="195"/>
      <c r="G291" s="195"/>
      <c r="H291" s="195"/>
    </row>
    <row r="292" spans="1:8" s="87" customFormat="1">
      <c r="A292" s="205"/>
      <c r="E292" s="195"/>
      <c r="F292" s="195"/>
      <c r="G292" s="195"/>
      <c r="H292" s="195"/>
    </row>
    <row r="293" spans="1:8" s="87" customFormat="1">
      <c r="A293" s="205"/>
      <c r="E293" s="195"/>
      <c r="F293" s="195"/>
      <c r="G293" s="195"/>
      <c r="H293" s="195"/>
    </row>
    <row r="294" spans="1:8" s="87" customFormat="1">
      <c r="A294" s="205"/>
      <c r="E294" s="195"/>
      <c r="F294" s="195"/>
      <c r="G294" s="195"/>
      <c r="H294" s="195"/>
    </row>
    <row r="295" spans="1:8" s="87" customFormat="1">
      <c r="A295" s="205"/>
      <c r="E295" s="195"/>
      <c r="F295" s="195"/>
      <c r="G295" s="195"/>
      <c r="H295" s="195"/>
    </row>
    <row r="296" spans="1:8" s="87" customFormat="1">
      <c r="A296" s="205"/>
      <c r="E296" s="195"/>
      <c r="F296" s="195"/>
      <c r="G296" s="195"/>
      <c r="H296" s="195"/>
    </row>
    <row r="297" spans="1:8" s="87" customFormat="1">
      <c r="A297" s="205"/>
      <c r="E297" s="195"/>
      <c r="F297" s="195"/>
      <c r="G297" s="195"/>
      <c r="H297" s="195"/>
    </row>
    <row r="298" spans="1:8" s="87" customFormat="1">
      <c r="A298" s="205"/>
      <c r="E298" s="195"/>
      <c r="F298" s="195"/>
      <c r="G298" s="195"/>
      <c r="H298" s="195"/>
    </row>
    <row r="299" spans="1:8" s="87" customFormat="1">
      <c r="A299" s="205"/>
      <c r="E299" s="195"/>
      <c r="F299" s="195"/>
      <c r="G299" s="195"/>
      <c r="H299" s="195"/>
    </row>
    <row r="300" spans="1:8" s="87" customFormat="1">
      <c r="A300" s="205"/>
      <c r="E300" s="195"/>
      <c r="F300" s="195"/>
      <c r="G300" s="195"/>
      <c r="H300" s="195"/>
    </row>
    <row r="301" spans="1:8" s="87" customFormat="1">
      <c r="A301" s="205"/>
      <c r="E301" s="195"/>
      <c r="F301" s="195"/>
      <c r="G301" s="195"/>
      <c r="H301" s="195"/>
    </row>
    <row r="302" spans="1:8" s="87" customFormat="1">
      <c r="A302" s="205"/>
      <c r="E302" s="195"/>
      <c r="F302" s="195"/>
      <c r="G302" s="195"/>
      <c r="H302" s="195"/>
    </row>
    <row r="303" spans="1:8" s="87" customFormat="1">
      <c r="A303" s="205"/>
      <c r="E303" s="195"/>
      <c r="F303" s="195"/>
      <c r="G303" s="195"/>
      <c r="H303" s="195"/>
    </row>
    <row r="304" spans="1:8" s="87" customFormat="1">
      <c r="A304" s="205"/>
      <c r="E304" s="195"/>
      <c r="F304" s="195"/>
      <c r="G304" s="195"/>
      <c r="H304" s="195"/>
    </row>
    <row r="305" spans="1:8" s="87" customFormat="1">
      <c r="A305" s="205"/>
      <c r="E305" s="195"/>
      <c r="F305" s="195"/>
      <c r="G305" s="195"/>
      <c r="H305" s="195"/>
    </row>
    <row r="306" spans="1:8" s="87" customFormat="1">
      <c r="A306" s="205"/>
      <c r="E306" s="195"/>
      <c r="F306" s="195"/>
      <c r="G306" s="195"/>
      <c r="H306" s="195"/>
    </row>
    <row r="307" spans="1:8" s="87" customFormat="1">
      <c r="A307" s="205"/>
      <c r="E307" s="195"/>
      <c r="F307" s="195"/>
      <c r="G307" s="195"/>
      <c r="H307" s="195"/>
    </row>
  </sheetData>
  <mergeCells count="16">
    <mergeCell ref="G155:H155"/>
    <mergeCell ref="A2:H2"/>
    <mergeCell ref="A1:H1"/>
    <mergeCell ref="C156:D156"/>
    <mergeCell ref="G156:H156"/>
    <mergeCell ref="C155:D155"/>
    <mergeCell ref="A69:H69"/>
    <mergeCell ref="A136:H136"/>
    <mergeCell ref="A51:H51"/>
    <mergeCell ref="A118:H118"/>
    <mergeCell ref="A127:H127"/>
    <mergeCell ref="A4:A5"/>
    <mergeCell ref="B4:B5"/>
    <mergeCell ref="A7:H7"/>
    <mergeCell ref="E4:H4"/>
    <mergeCell ref="C4:D4"/>
  </mergeCells>
  <phoneticPr fontId="3" type="noConversion"/>
  <pageMargins left="0.23622047244094491" right="0.15748031496062992" top="0.19685039370078741" bottom="0.19685039370078741" header="0.39370078740157483" footer="0.19685039370078741"/>
  <pageSetup paperSize="9" scale="75" orientation="landscape" verticalDpi="300" r:id="rId1"/>
  <headerFooter alignWithMargins="0"/>
  <ignoredErrors>
    <ignoredError sqref="B128:B135 B137:B1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I369"/>
  <sheetViews>
    <sheetView view="pageBreakPreview" topLeftCell="A19" zoomScale="60" zoomScaleNormal="100" workbookViewId="0">
      <selection activeCell="F14" sqref="F14"/>
    </sheetView>
  </sheetViews>
  <sheetFormatPr defaultRowHeight="18.75"/>
  <cols>
    <col min="1" max="1" width="9.140625" style="43"/>
    <col min="2" max="2" width="51.5703125" style="43" customWidth="1"/>
    <col min="3" max="3" width="12" style="69" customWidth="1"/>
    <col min="4" max="4" width="16.140625" style="69" customWidth="1"/>
    <col min="5" max="5" width="16.7109375" style="69" customWidth="1"/>
    <col min="6" max="6" width="16.140625" style="69" customWidth="1"/>
    <col min="7" max="7" width="16.140625" style="43" customWidth="1"/>
    <col min="8" max="8" width="17.5703125" style="43" customWidth="1"/>
    <col min="9" max="16384" width="9.140625" style="43"/>
  </cols>
  <sheetData>
    <row r="2" spans="1:8" ht="20.25">
      <c r="B2" s="357" t="s">
        <v>164</v>
      </c>
      <c r="C2" s="357"/>
      <c r="D2" s="357"/>
      <c r="E2" s="357"/>
      <c r="F2" s="357"/>
    </row>
    <row r="3" spans="1:8">
      <c r="B3" s="44"/>
      <c r="C3" s="45"/>
      <c r="D3" s="44"/>
      <c r="E3" s="44"/>
      <c r="F3" s="44"/>
      <c r="H3" s="43" t="s">
        <v>110</v>
      </c>
    </row>
    <row r="4" spans="1:8" ht="92.25" customHeight="1">
      <c r="A4" s="46" t="s">
        <v>129</v>
      </c>
      <c r="B4" s="47" t="s">
        <v>34</v>
      </c>
      <c r="C4" s="48" t="s">
        <v>5</v>
      </c>
      <c r="D4" s="48" t="s">
        <v>635</v>
      </c>
      <c r="E4" s="48" t="s">
        <v>636</v>
      </c>
      <c r="F4" s="48" t="s">
        <v>637</v>
      </c>
      <c r="G4" s="3" t="s">
        <v>186</v>
      </c>
      <c r="H4" s="3" t="s">
        <v>188</v>
      </c>
    </row>
    <row r="5" spans="1:8" ht="30.75" customHeight="1">
      <c r="A5" s="49">
        <v>1</v>
      </c>
      <c r="B5" s="50">
        <v>2</v>
      </c>
      <c r="C5" s="3">
        <v>3</v>
      </c>
      <c r="D5" s="3">
        <v>4</v>
      </c>
      <c r="E5" s="3">
        <v>5</v>
      </c>
      <c r="F5" s="3">
        <v>6</v>
      </c>
      <c r="G5" s="49">
        <v>7</v>
      </c>
      <c r="H5" s="49">
        <v>8</v>
      </c>
    </row>
    <row r="6" spans="1:8" ht="30.75" customHeight="1">
      <c r="A6" s="362" t="s">
        <v>128</v>
      </c>
      <c r="B6" s="363"/>
      <c r="C6" s="3"/>
      <c r="D6" s="255">
        <f>D7+D12+D24+D26</f>
        <v>60673.9</v>
      </c>
      <c r="E6" s="255">
        <f t="shared" ref="E6" si="0">E7+E12+E24+E26</f>
        <v>61799</v>
      </c>
      <c r="F6" s="255">
        <f>F7+F12+F24+F26</f>
        <v>76000.999999999985</v>
      </c>
      <c r="G6" s="256">
        <f>F6-E6</f>
        <v>14201.999999999985</v>
      </c>
      <c r="H6" s="256">
        <f>F6/E6*100</f>
        <v>122.98095438437512</v>
      </c>
    </row>
    <row r="7" spans="1:8" ht="62.25" customHeight="1">
      <c r="A7" s="354" t="s">
        <v>127</v>
      </c>
      <c r="B7" s="355"/>
      <c r="C7" s="51">
        <v>1000</v>
      </c>
      <c r="D7" s="52">
        <f>SUM(D8:D11)</f>
        <v>245.1</v>
      </c>
      <c r="E7" s="52">
        <f t="shared" ref="E7:F7" si="1">SUM(E8:E11)</f>
        <v>37897.5</v>
      </c>
      <c r="F7" s="52">
        <f t="shared" si="1"/>
        <v>46843.7</v>
      </c>
      <c r="G7" s="256">
        <f t="shared" ref="G7:G10" si="2">F7-E7</f>
        <v>8946.1999999999971</v>
      </c>
      <c r="H7" s="256">
        <f t="shared" ref="H7:H9" si="3">F7/E7*100</f>
        <v>123.6063064845966</v>
      </c>
    </row>
    <row r="8" spans="1:8" ht="47.25" customHeight="1">
      <c r="A8" s="101">
        <v>1</v>
      </c>
      <c r="B8" s="100" t="s">
        <v>430</v>
      </c>
      <c r="C8" s="106"/>
      <c r="D8" s="167"/>
      <c r="E8" s="167">
        <v>37597.5</v>
      </c>
      <c r="F8" s="167">
        <f>46077.8-998.4</f>
        <v>45079.4</v>
      </c>
      <c r="G8" s="257">
        <f t="shared" si="2"/>
        <v>7481.9000000000015</v>
      </c>
      <c r="H8" s="257">
        <f t="shared" si="3"/>
        <v>119.89999335062171</v>
      </c>
    </row>
    <row r="9" spans="1:8" ht="42" customHeight="1">
      <c r="A9" s="101">
        <v>2</v>
      </c>
      <c r="B9" s="100" t="s">
        <v>431</v>
      </c>
      <c r="C9" s="106"/>
      <c r="D9" s="167">
        <v>245.1</v>
      </c>
      <c r="E9" s="167">
        <v>300</v>
      </c>
      <c r="F9" s="167">
        <f>724.8+413.6</f>
        <v>1138.4000000000001</v>
      </c>
      <c r="G9" s="257">
        <f t="shared" si="2"/>
        <v>838.40000000000009</v>
      </c>
      <c r="H9" s="257">
        <f t="shared" si="3"/>
        <v>379.4666666666667</v>
      </c>
    </row>
    <row r="10" spans="1:8" ht="41.25" customHeight="1">
      <c r="A10" s="168">
        <v>3</v>
      </c>
      <c r="B10" s="100" t="s">
        <v>432</v>
      </c>
      <c r="C10" s="106"/>
      <c r="D10" s="167"/>
      <c r="E10" s="167"/>
      <c r="F10" s="167">
        <v>467.7</v>
      </c>
      <c r="G10" s="257">
        <f t="shared" si="2"/>
        <v>467.7</v>
      </c>
      <c r="H10" s="256"/>
    </row>
    <row r="11" spans="1:8" ht="54.75" customHeight="1">
      <c r="A11" s="168">
        <v>4</v>
      </c>
      <c r="B11" s="100" t="s">
        <v>433</v>
      </c>
      <c r="C11" s="106"/>
      <c r="D11" s="167"/>
      <c r="E11" s="167"/>
      <c r="F11" s="167">
        <v>158.19999999999999</v>
      </c>
      <c r="G11" s="257">
        <f t="shared" ref="G11:G127" si="4">F11-E11</f>
        <v>158.19999999999999</v>
      </c>
      <c r="H11" s="257"/>
    </row>
    <row r="12" spans="1:8" ht="30.75" customHeight="1">
      <c r="A12" s="364" t="s">
        <v>55</v>
      </c>
      <c r="B12" s="365"/>
      <c r="C12" s="169">
        <v>1042</v>
      </c>
      <c r="D12" s="170">
        <f>SUM(D13:D23)</f>
        <v>59228.200000000004</v>
      </c>
      <c r="E12" s="170">
        <f t="shared" ref="E12:F12" si="5">SUM(E13:E23)</f>
        <v>23368.7</v>
      </c>
      <c r="F12" s="170">
        <f t="shared" si="5"/>
        <v>27552.899999999998</v>
      </c>
      <c r="G12" s="53">
        <f t="shared" si="4"/>
        <v>4184.1999999999971</v>
      </c>
      <c r="H12" s="53">
        <f t="shared" ref="H12:H127" si="6">(F12/E12)*100</f>
        <v>117.90514662775419</v>
      </c>
    </row>
    <row r="13" spans="1:8" ht="42" customHeight="1">
      <c r="A13" s="106">
        <v>1</v>
      </c>
      <c r="B13" s="100" t="s">
        <v>434</v>
      </c>
      <c r="C13" s="98"/>
      <c r="D13" s="167">
        <v>46323</v>
      </c>
      <c r="E13" s="167">
        <v>12532.5</v>
      </c>
      <c r="F13" s="167">
        <v>12532.5</v>
      </c>
      <c r="G13" s="53">
        <f t="shared" si="4"/>
        <v>0</v>
      </c>
      <c r="H13" s="54">
        <f t="shared" si="6"/>
        <v>100</v>
      </c>
    </row>
    <row r="14" spans="1:8" ht="55.5" customHeight="1">
      <c r="A14" s="172">
        <v>2</v>
      </c>
      <c r="B14" s="171" t="s">
        <v>435</v>
      </c>
      <c r="C14" s="98"/>
      <c r="D14" s="167">
        <v>380</v>
      </c>
      <c r="E14" s="167"/>
      <c r="F14" s="167">
        <v>27.3</v>
      </c>
      <c r="G14" s="54">
        <f t="shared" si="4"/>
        <v>27.3</v>
      </c>
      <c r="H14" s="54"/>
    </row>
    <row r="15" spans="1:8" ht="36" customHeight="1">
      <c r="A15" s="173">
        <v>3</v>
      </c>
      <c r="B15" s="100" t="s">
        <v>436</v>
      </c>
      <c r="C15" s="98"/>
      <c r="D15" s="167">
        <v>7611.1</v>
      </c>
      <c r="E15" s="167">
        <v>8917.1</v>
      </c>
      <c r="F15" s="167">
        <f>11755.9</f>
        <v>11755.9</v>
      </c>
      <c r="G15" s="54">
        <f t="shared" si="4"/>
        <v>2838.7999999999993</v>
      </c>
      <c r="H15" s="54">
        <f t="shared" si="6"/>
        <v>131.83546220183692</v>
      </c>
    </row>
    <row r="16" spans="1:8" ht="36.75" customHeight="1">
      <c r="A16" s="173">
        <v>4</v>
      </c>
      <c r="B16" s="100" t="s">
        <v>437</v>
      </c>
      <c r="C16" s="98"/>
      <c r="D16" s="167">
        <v>1140.0999999999999</v>
      </c>
      <c r="E16" s="167">
        <v>1029</v>
      </c>
      <c r="F16" s="167"/>
      <c r="G16" s="54">
        <f t="shared" si="4"/>
        <v>-1029</v>
      </c>
      <c r="H16" s="54">
        <f t="shared" si="6"/>
        <v>0</v>
      </c>
    </row>
    <row r="17" spans="1:8" ht="58.5" customHeight="1">
      <c r="A17" s="173">
        <v>5</v>
      </c>
      <c r="B17" s="100" t="s">
        <v>438</v>
      </c>
      <c r="C17" s="98"/>
      <c r="D17" s="167">
        <v>9.3000000000000007</v>
      </c>
      <c r="E17" s="167">
        <v>9.3000000000000007</v>
      </c>
      <c r="F17" s="167">
        <f>2.1-0.3</f>
        <v>1.8</v>
      </c>
      <c r="G17" s="54">
        <f t="shared" si="4"/>
        <v>-7.5000000000000009</v>
      </c>
      <c r="H17" s="54">
        <f t="shared" si="6"/>
        <v>19.35483870967742</v>
      </c>
    </row>
    <row r="18" spans="1:8" ht="38.25" customHeight="1">
      <c r="A18" s="173">
        <v>6</v>
      </c>
      <c r="B18" s="100" t="s">
        <v>432</v>
      </c>
      <c r="C18" s="98"/>
      <c r="D18" s="167">
        <v>613.5</v>
      </c>
      <c r="E18" s="167">
        <v>805.7</v>
      </c>
      <c r="F18" s="167"/>
      <c r="G18" s="54">
        <f t="shared" si="4"/>
        <v>-805.7</v>
      </c>
      <c r="H18" s="54">
        <f t="shared" si="6"/>
        <v>0</v>
      </c>
    </row>
    <row r="19" spans="1:8" ht="30.75" customHeight="1">
      <c r="A19" s="101">
        <v>7</v>
      </c>
      <c r="B19" s="100" t="s">
        <v>439</v>
      </c>
      <c r="C19" s="98"/>
      <c r="D19" s="167">
        <v>66.400000000000006</v>
      </c>
      <c r="E19" s="167">
        <v>71.900000000000006</v>
      </c>
      <c r="F19" s="167">
        <f>35.8+5.4</f>
        <v>41.199999999999996</v>
      </c>
      <c r="G19" s="54">
        <f t="shared" si="4"/>
        <v>-30.70000000000001</v>
      </c>
      <c r="H19" s="54">
        <f t="shared" si="6"/>
        <v>57.301808066759378</v>
      </c>
    </row>
    <row r="20" spans="1:8" ht="44.25" customHeight="1">
      <c r="A20" s="101">
        <v>8</v>
      </c>
      <c r="B20" s="100" t="s">
        <v>440</v>
      </c>
      <c r="C20" s="106"/>
      <c r="D20" s="167">
        <v>2.1</v>
      </c>
      <c r="E20" s="167">
        <v>3.2</v>
      </c>
      <c r="F20" s="167">
        <v>17</v>
      </c>
      <c r="G20" s="54">
        <f t="shared" si="4"/>
        <v>13.8</v>
      </c>
      <c r="H20" s="54">
        <f t="shared" si="6"/>
        <v>531.25</v>
      </c>
    </row>
    <row r="21" spans="1:8" ht="36.75" customHeight="1">
      <c r="A21" s="101">
        <v>9</v>
      </c>
      <c r="B21" s="100" t="s">
        <v>441</v>
      </c>
      <c r="C21" s="106"/>
      <c r="D21" s="167">
        <v>729.8</v>
      </c>
      <c r="E21" s="167"/>
      <c r="F21" s="167">
        <v>418.7</v>
      </c>
      <c r="G21" s="54">
        <f t="shared" si="4"/>
        <v>418.7</v>
      </c>
      <c r="H21" s="53"/>
    </row>
    <row r="22" spans="1:8" ht="30.75" customHeight="1">
      <c r="A22" s="101">
        <v>10</v>
      </c>
      <c r="B22" s="100" t="s">
        <v>442</v>
      </c>
      <c r="C22" s="106"/>
      <c r="D22" s="167">
        <v>2352.9</v>
      </c>
      <c r="E22" s="167"/>
      <c r="F22" s="167">
        <f>2313+421.9-5.4+0.3</f>
        <v>2729.8</v>
      </c>
      <c r="G22" s="54">
        <f t="shared" si="4"/>
        <v>2729.8</v>
      </c>
      <c r="H22" s="53"/>
    </row>
    <row r="23" spans="1:8" ht="33.75" customHeight="1">
      <c r="A23" s="101">
        <v>11</v>
      </c>
      <c r="B23" s="100" t="s">
        <v>443</v>
      </c>
      <c r="C23" s="106"/>
      <c r="D23" s="167"/>
      <c r="E23" s="167"/>
      <c r="F23" s="167">
        <v>28.7</v>
      </c>
      <c r="G23" s="54">
        <f t="shared" si="4"/>
        <v>28.7</v>
      </c>
      <c r="H23" s="53"/>
    </row>
    <row r="24" spans="1:8" ht="30.75" customHeight="1">
      <c r="A24" s="366" t="s">
        <v>130</v>
      </c>
      <c r="B24" s="367"/>
      <c r="C24" s="51">
        <v>1130</v>
      </c>
      <c r="D24" s="52"/>
      <c r="E24" s="52"/>
      <c r="F24" s="52">
        <f>F25</f>
        <v>26.5</v>
      </c>
      <c r="G24" s="53">
        <f t="shared" si="4"/>
        <v>26.5</v>
      </c>
      <c r="H24" s="53"/>
    </row>
    <row r="25" spans="1:8" ht="40.5" customHeight="1">
      <c r="A25" s="101">
        <v>1</v>
      </c>
      <c r="B25" s="174" t="s">
        <v>444</v>
      </c>
      <c r="C25" s="101"/>
      <c r="D25" s="175"/>
      <c r="E25" s="175"/>
      <c r="F25" s="175">
        <v>26.5</v>
      </c>
      <c r="G25" s="54">
        <f t="shared" si="4"/>
        <v>26.5</v>
      </c>
      <c r="H25" s="53"/>
    </row>
    <row r="26" spans="1:8" ht="30.75" customHeight="1">
      <c r="A26" s="366" t="s">
        <v>38</v>
      </c>
      <c r="B26" s="367"/>
      <c r="C26" s="51">
        <v>1150</v>
      </c>
      <c r="D26" s="52">
        <f>D27</f>
        <v>1200.5999999999999</v>
      </c>
      <c r="E26" s="52">
        <f t="shared" ref="E26" si="7">E27</f>
        <v>532.79999999999995</v>
      </c>
      <c r="F26" s="52">
        <f>F27+F28</f>
        <v>1577.9</v>
      </c>
      <c r="G26" s="53">
        <f t="shared" si="4"/>
        <v>1045.1000000000001</v>
      </c>
      <c r="H26" s="53">
        <f t="shared" si="6"/>
        <v>296.15240240240246</v>
      </c>
    </row>
    <row r="27" spans="1:8" ht="38.25" customHeight="1">
      <c r="A27" s="101">
        <v>1</v>
      </c>
      <c r="B27" s="100" t="s">
        <v>427</v>
      </c>
      <c r="C27" s="98"/>
      <c r="D27" s="167">
        <v>1200.5999999999999</v>
      </c>
      <c r="E27" s="167">
        <v>532.79999999999995</v>
      </c>
      <c r="F27" s="167">
        <v>1572.9</v>
      </c>
      <c r="G27" s="54">
        <f t="shared" si="4"/>
        <v>1040.1000000000001</v>
      </c>
      <c r="H27" s="54">
        <f t="shared" si="6"/>
        <v>295.21396396396403</v>
      </c>
    </row>
    <row r="28" spans="1:8" ht="42" customHeight="1">
      <c r="A28" s="101">
        <v>2</v>
      </c>
      <c r="B28" s="100" t="s">
        <v>445</v>
      </c>
      <c r="C28" s="98"/>
      <c r="D28" s="176"/>
      <c r="E28" s="176"/>
      <c r="F28" s="167">
        <v>5</v>
      </c>
      <c r="G28" s="54">
        <f t="shared" si="4"/>
        <v>5</v>
      </c>
      <c r="H28" s="54"/>
    </row>
    <row r="29" spans="1:8" ht="44.25" customHeight="1">
      <c r="A29" s="360" t="s">
        <v>131</v>
      </c>
      <c r="B29" s="361"/>
      <c r="C29" s="51"/>
      <c r="D29" s="52"/>
      <c r="E29" s="52"/>
      <c r="F29" s="52"/>
      <c r="G29" s="53"/>
      <c r="H29" s="53"/>
    </row>
    <row r="30" spans="1:8" ht="48" customHeight="1">
      <c r="A30" s="354" t="s">
        <v>132</v>
      </c>
      <c r="B30" s="355"/>
      <c r="C30" s="3"/>
      <c r="D30" s="55"/>
      <c r="E30" s="55"/>
      <c r="F30" s="55"/>
      <c r="G30" s="53"/>
      <c r="H30" s="53"/>
    </row>
    <row r="31" spans="1:8" ht="34.5" customHeight="1">
      <c r="A31" s="354" t="s">
        <v>133</v>
      </c>
      <c r="B31" s="355"/>
      <c r="C31" s="51">
        <v>1011</v>
      </c>
      <c r="D31" s="55">
        <f>SUM(D32:D47)</f>
        <v>94.300000000000011</v>
      </c>
      <c r="E31" s="55">
        <f>SUM(E32:E47)</f>
        <v>4285.5</v>
      </c>
      <c r="F31" s="55">
        <f>SUM(F32:F47)</f>
        <v>11277.200000000003</v>
      </c>
      <c r="G31" s="53">
        <f t="shared" si="4"/>
        <v>6991.7000000000025</v>
      </c>
      <c r="H31" s="53">
        <f t="shared" si="6"/>
        <v>263.14782405786963</v>
      </c>
    </row>
    <row r="32" spans="1:8" ht="34.5" customHeight="1">
      <c r="A32" s="111"/>
      <c r="B32" s="100" t="s">
        <v>333</v>
      </c>
      <c r="C32" s="106"/>
      <c r="D32" s="176"/>
      <c r="E32" s="167">
        <v>274</v>
      </c>
      <c r="F32" s="175">
        <v>225</v>
      </c>
      <c r="G32" s="54">
        <f t="shared" si="4"/>
        <v>-49</v>
      </c>
      <c r="H32" s="54">
        <f t="shared" si="6"/>
        <v>82.116788321167888</v>
      </c>
    </row>
    <row r="33" spans="1:8" ht="34.5" customHeight="1">
      <c r="A33" s="111"/>
      <c r="B33" s="100" t="s">
        <v>334</v>
      </c>
      <c r="C33" s="106"/>
      <c r="D33" s="176"/>
      <c r="E33" s="167">
        <v>3162.4</v>
      </c>
      <c r="F33" s="175">
        <v>2660</v>
      </c>
      <c r="G33" s="54">
        <f t="shared" si="4"/>
        <v>-502.40000000000009</v>
      </c>
      <c r="H33" s="54">
        <f t="shared" si="6"/>
        <v>84.113331646850483</v>
      </c>
    </row>
    <row r="34" spans="1:8">
      <c r="A34" s="111"/>
      <c r="B34" s="117" t="s">
        <v>335</v>
      </c>
      <c r="C34" s="106"/>
      <c r="D34" s="176"/>
      <c r="E34" s="167"/>
      <c r="F34" s="175">
        <v>1412</v>
      </c>
      <c r="G34" s="54">
        <f t="shared" si="4"/>
        <v>1412</v>
      </c>
      <c r="H34" s="54"/>
    </row>
    <row r="35" spans="1:8" ht="28.5" customHeight="1">
      <c r="A35" s="111"/>
      <c r="B35" s="117" t="s">
        <v>388</v>
      </c>
      <c r="C35" s="106" t="s">
        <v>446</v>
      </c>
      <c r="D35" s="176"/>
      <c r="E35" s="167">
        <v>477</v>
      </c>
      <c r="F35" s="175">
        <v>5022.5</v>
      </c>
      <c r="G35" s="54">
        <f t="shared" si="4"/>
        <v>4545.5</v>
      </c>
      <c r="H35" s="54">
        <f t="shared" si="6"/>
        <v>1052.9350104821804</v>
      </c>
    </row>
    <row r="36" spans="1:8">
      <c r="A36" s="111"/>
      <c r="B36" s="100" t="s">
        <v>389</v>
      </c>
      <c r="C36" s="106"/>
      <c r="D36" s="176"/>
      <c r="E36" s="167"/>
      <c r="F36" s="175">
        <v>637.79999999999995</v>
      </c>
      <c r="G36" s="54">
        <f t="shared" si="4"/>
        <v>637.79999999999995</v>
      </c>
      <c r="H36" s="54"/>
    </row>
    <row r="37" spans="1:8">
      <c r="A37" s="111"/>
      <c r="B37" s="100" t="s">
        <v>337</v>
      </c>
      <c r="C37" s="106"/>
      <c r="D37" s="176"/>
      <c r="E37" s="167">
        <v>129.4</v>
      </c>
      <c r="F37" s="175">
        <v>115.6</v>
      </c>
      <c r="G37" s="54">
        <f t="shared" si="4"/>
        <v>-13.800000000000011</v>
      </c>
      <c r="H37" s="54">
        <f t="shared" si="6"/>
        <v>89.335394126738791</v>
      </c>
    </row>
    <row r="38" spans="1:8">
      <c r="A38" s="111"/>
      <c r="B38" s="117" t="s">
        <v>338</v>
      </c>
      <c r="C38" s="106"/>
      <c r="D38" s="176"/>
      <c r="E38" s="167">
        <v>242.7</v>
      </c>
      <c r="F38" s="175">
        <v>151.1</v>
      </c>
      <c r="G38" s="54">
        <f t="shared" si="4"/>
        <v>-91.6</v>
      </c>
      <c r="H38" s="54">
        <f t="shared" si="6"/>
        <v>62.257931602801811</v>
      </c>
    </row>
    <row r="39" spans="1:8">
      <c r="A39" s="111"/>
      <c r="B39" s="100" t="s">
        <v>213</v>
      </c>
      <c r="C39" s="106"/>
      <c r="D39" s="176"/>
      <c r="E39" s="167"/>
      <c r="F39" s="175">
        <f>92.6+30.8+123.4+47.5+15.9</f>
        <v>310.2</v>
      </c>
      <c r="G39" s="54">
        <f t="shared" si="4"/>
        <v>310.2</v>
      </c>
      <c r="H39" s="53"/>
    </row>
    <row r="40" spans="1:8">
      <c r="A40" s="111"/>
      <c r="B40" s="117" t="s">
        <v>214</v>
      </c>
      <c r="C40" s="106"/>
      <c r="D40" s="167">
        <v>49.2</v>
      </c>
      <c r="E40" s="167"/>
      <c r="F40" s="167">
        <f>0.7+155.4+74</f>
        <v>230.1</v>
      </c>
      <c r="G40" s="54">
        <f t="shared" si="4"/>
        <v>230.1</v>
      </c>
      <c r="H40" s="53"/>
    </row>
    <row r="41" spans="1:8" ht="34.5" customHeight="1">
      <c r="A41" s="111"/>
      <c r="B41" s="117" t="s">
        <v>280</v>
      </c>
      <c r="C41" s="106"/>
      <c r="D41" s="167"/>
      <c r="E41" s="167"/>
      <c r="F41" s="167">
        <f>18.5+0.9+0.2+80.3+2.2</f>
        <v>102.1</v>
      </c>
      <c r="G41" s="54">
        <f t="shared" si="4"/>
        <v>102.1</v>
      </c>
      <c r="H41" s="53"/>
    </row>
    <row r="42" spans="1:8" ht="34.5" customHeight="1">
      <c r="A42" s="111"/>
      <c r="B42" s="100" t="s">
        <v>391</v>
      </c>
      <c r="C42" s="106"/>
      <c r="D42" s="167">
        <v>45.1</v>
      </c>
      <c r="E42" s="167"/>
      <c r="F42" s="175">
        <f>47.7+3.8+131.4+10.7+1.7+122.9</f>
        <v>318.2</v>
      </c>
      <c r="G42" s="54">
        <f t="shared" si="4"/>
        <v>318.2</v>
      </c>
      <c r="H42" s="53"/>
    </row>
    <row r="43" spans="1:8" ht="34.5" customHeight="1">
      <c r="A43" s="111"/>
      <c r="B43" s="100" t="s">
        <v>392</v>
      </c>
      <c r="C43" s="106"/>
      <c r="D43" s="176"/>
      <c r="E43" s="167"/>
      <c r="F43" s="175">
        <f>7.8</f>
        <v>7.8</v>
      </c>
      <c r="G43" s="54">
        <f t="shared" si="4"/>
        <v>7.8</v>
      </c>
      <c r="H43" s="53"/>
    </row>
    <row r="44" spans="1:8" ht="34.5" customHeight="1">
      <c r="A44" s="111"/>
      <c r="B44" s="100" t="s">
        <v>240</v>
      </c>
      <c r="C44" s="106"/>
      <c r="D44" s="176"/>
      <c r="E44" s="167"/>
      <c r="F44" s="175">
        <f>26.8+21.7</f>
        <v>48.5</v>
      </c>
      <c r="G44" s="54">
        <f t="shared" si="4"/>
        <v>48.5</v>
      </c>
      <c r="H44" s="53"/>
    </row>
    <row r="45" spans="1:8">
      <c r="A45" s="111"/>
      <c r="B45" s="100" t="s">
        <v>306</v>
      </c>
      <c r="C45" s="106"/>
      <c r="D45" s="176"/>
      <c r="E45" s="167"/>
      <c r="F45" s="175">
        <f>2.1+2.5</f>
        <v>4.5999999999999996</v>
      </c>
      <c r="G45" s="54">
        <f t="shared" si="4"/>
        <v>4.5999999999999996</v>
      </c>
      <c r="H45" s="53"/>
    </row>
    <row r="46" spans="1:8" ht="34.5" customHeight="1">
      <c r="A46" s="111"/>
      <c r="B46" s="100" t="s">
        <v>447</v>
      </c>
      <c r="C46" s="106"/>
      <c r="D46" s="176"/>
      <c r="E46" s="167"/>
      <c r="F46" s="175">
        <f>26.7</f>
        <v>26.7</v>
      </c>
      <c r="G46" s="54">
        <f t="shared" si="4"/>
        <v>26.7</v>
      </c>
      <c r="H46" s="53"/>
    </row>
    <row r="47" spans="1:8" ht="28.5" customHeight="1">
      <c r="A47" s="111"/>
      <c r="B47" s="100" t="s">
        <v>448</v>
      </c>
      <c r="C47" s="106"/>
      <c r="D47" s="176"/>
      <c r="E47" s="167"/>
      <c r="F47" s="191">
        <v>5</v>
      </c>
      <c r="G47" s="54">
        <f t="shared" si="4"/>
        <v>5</v>
      </c>
      <c r="H47" s="53"/>
    </row>
    <row r="48" spans="1:8" ht="35.25" customHeight="1">
      <c r="A48" s="354" t="s">
        <v>134</v>
      </c>
      <c r="B48" s="355"/>
      <c r="C48" s="51">
        <v>1015</v>
      </c>
      <c r="D48" s="55">
        <f>SUM(D49:D82)</f>
        <v>274.89999999999998</v>
      </c>
      <c r="E48" s="55">
        <f>SUM(E49:E82)</f>
        <v>0</v>
      </c>
      <c r="F48" s="55">
        <f>SUM(F49:F82)</f>
        <v>5188.7999999999993</v>
      </c>
      <c r="G48" s="53">
        <f t="shared" si="4"/>
        <v>5188.7999999999993</v>
      </c>
      <c r="H48" s="53"/>
    </row>
    <row r="49" spans="1:8" ht="20.25">
      <c r="A49" s="111"/>
      <c r="B49" s="103" t="s">
        <v>221</v>
      </c>
      <c r="C49" s="161"/>
      <c r="D49" s="167"/>
      <c r="E49" s="176"/>
      <c r="F49" s="259">
        <f>11.3+49.5</f>
        <v>60.8</v>
      </c>
      <c r="G49" s="54">
        <f t="shared" si="4"/>
        <v>60.8</v>
      </c>
      <c r="H49" s="53"/>
    </row>
    <row r="50" spans="1:8">
      <c r="A50" s="111"/>
      <c r="B50" s="100" t="s">
        <v>222</v>
      </c>
      <c r="C50" s="106"/>
      <c r="D50" s="167"/>
      <c r="E50" s="167"/>
      <c r="F50" s="259">
        <v>89</v>
      </c>
      <c r="G50" s="54">
        <f t="shared" si="4"/>
        <v>89</v>
      </c>
      <c r="H50" s="53"/>
    </row>
    <row r="51" spans="1:8">
      <c r="A51" s="111"/>
      <c r="B51" s="100" t="s">
        <v>223</v>
      </c>
      <c r="C51" s="106"/>
      <c r="D51" s="167"/>
      <c r="E51" s="167"/>
      <c r="F51" s="259">
        <v>80.599999999999994</v>
      </c>
      <c r="G51" s="54">
        <f t="shared" si="4"/>
        <v>80.599999999999994</v>
      </c>
      <c r="H51" s="53"/>
    </row>
    <row r="52" spans="1:8" ht="35.25" customHeight="1">
      <c r="A52" s="111"/>
      <c r="B52" s="103" t="s">
        <v>224</v>
      </c>
      <c r="C52" s="106"/>
      <c r="D52" s="167">
        <v>25.6</v>
      </c>
      <c r="E52" s="167"/>
      <c r="F52" s="259">
        <f>221.8+49.4+12.6+26.4+26.5</f>
        <v>336.7</v>
      </c>
      <c r="G52" s="54">
        <f t="shared" si="4"/>
        <v>336.7</v>
      </c>
      <c r="H52" s="53"/>
    </row>
    <row r="53" spans="1:8">
      <c r="A53" s="111"/>
      <c r="B53" s="103" t="s">
        <v>225</v>
      </c>
      <c r="C53" s="106"/>
      <c r="D53" s="167">
        <v>6.6</v>
      </c>
      <c r="E53" s="167"/>
      <c r="F53" s="259">
        <f>35.5+2.3</f>
        <v>37.799999999999997</v>
      </c>
      <c r="G53" s="54">
        <f t="shared" si="4"/>
        <v>37.799999999999997</v>
      </c>
      <c r="H53" s="53"/>
    </row>
    <row r="54" spans="1:8" ht="35.25" customHeight="1">
      <c r="A54" s="111"/>
      <c r="B54" s="103" t="s">
        <v>271</v>
      </c>
      <c r="C54" s="106"/>
      <c r="D54" s="167"/>
      <c r="E54" s="167"/>
      <c r="F54" s="259">
        <f>31.6+150</f>
        <v>181.6</v>
      </c>
      <c r="G54" s="54">
        <f t="shared" si="4"/>
        <v>181.6</v>
      </c>
      <c r="H54" s="53"/>
    </row>
    <row r="55" spans="1:8">
      <c r="A55" s="111"/>
      <c r="B55" s="103" t="s">
        <v>248</v>
      </c>
      <c r="C55" s="106"/>
      <c r="D55" s="167"/>
      <c r="E55" s="167"/>
      <c r="F55" s="259">
        <v>13.1</v>
      </c>
      <c r="G55" s="54">
        <f t="shared" si="4"/>
        <v>13.1</v>
      </c>
      <c r="H55" s="53"/>
    </row>
    <row r="56" spans="1:8" ht="35.25" customHeight="1">
      <c r="A56" s="111"/>
      <c r="B56" s="103" t="s">
        <v>249</v>
      </c>
      <c r="C56" s="106"/>
      <c r="D56" s="167">
        <v>3.5</v>
      </c>
      <c r="E56" s="167"/>
      <c r="F56" s="259">
        <f>41.8+2.8+1.4</f>
        <v>45.999999999999993</v>
      </c>
      <c r="G56" s="54">
        <f t="shared" si="4"/>
        <v>45.999999999999993</v>
      </c>
      <c r="H56" s="53"/>
    </row>
    <row r="57" spans="1:8">
      <c r="A57" s="111"/>
      <c r="B57" s="103" t="s">
        <v>449</v>
      </c>
      <c r="C57" s="106"/>
      <c r="D57" s="167">
        <v>6.4</v>
      </c>
      <c r="E57" s="167"/>
      <c r="F57" s="259">
        <f>5.1+7.3</f>
        <v>12.399999999999999</v>
      </c>
      <c r="G57" s="54">
        <f t="shared" si="4"/>
        <v>12.399999999999999</v>
      </c>
      <c r="H57" s="53"/>
    </row>
    <row r="58" spans="1:8">
      <c r="A58" s="111"/>
      <c r="B58" s="100" t="s">
        <v>317</v>
      </c>
      <c r="C58" s="106"/>
      <c r="D58" s="167"/>
      <c r="E58" s="167"/>
      <c r="F58" s="259">
        <f>40.9+13.7</f>
        <v>54.599999999999994</v>
      </c>
      <c r="G58" s="54">
        <f t="shared" si="4"/>
        <v>54.599999999999994</v>
      </c>
      <c r="H58" s="53"/>
    </row>
    <row r="59" spans="1:8">
      <c r="A59" s="111"/>
      <c r="B59" s="100" t="s">
        <v>227</v>
      </c>
      <c r="C59" s="106"/>
      <c r="D59" s="167"/>
      <c r="E59" s="167"/>
      <c r="F59" s="153">
        <f>15.9+1.6+1.5</f>
        <v>19</v>
      </c>
      <c r="G59" s="54">
        <f t="shared" si="4"/>
        <v>19</v>
      </c>
      <c r="H59" s="53"/>
    </row>
    <row r="60" spans="1:8" ht="35.25" customHeight="1">
      <c r="A60" s="111"/>
      <c r="B60" s="100" t="s">
        <v>250</v>
      </c>
      <c r="C60" s="106"/>
      <c r="D60" s="167"/>
      <c r="E60" s="167"/>
      <c r="F60" s="259">
        <f>11.4+9.3</f>
        <v>20.700000000000003</v>
      </c>
      <c r="G60" s="54">
        <f t="shared" si="4"/>
        <v>20.700000000000003</v>
      </c>
      <c r="H60" s="53"/>
    </row>
    <row r="61" spans="1:8">
      <c r="A61" s="111"/>
      <c r="B61" s="125" t="s">
        <v>394</v>
      </c>
      <c r="C61" s="106"/>
      <c r="D61" s="167">
        <v>223.1</v>
      </c>
      <c r="E61" s="167"/>
      <c r="F61" s="259">
        <f>151.4+288.5+49.6+78.6</f>
        <v>568.1</v>
      </c>
      <c r="G61" s="54">
        <f t="shared" si="4"/>
        <v>568.1</v>
      </c>
      <c r="H61" s="53"/>
    </row>
    <row r="62" spans="1:8">
      <c r="A62" s="111"/>
      <c r="B62" s="110" t="s">
        <v>343</v>
      </c>
      <c r="C62" s="106"/>
      <c r="D62" s="167"/>
      <c r="E62" s="167"/>
      <c r="F62" s="259">
        <v>119.3</v>
      </c>
      <c r="G62" s="54">
        <f t="shared" si="4"/>
        <v>119.3</v>
      </c>
      <c r="H62" s="53"/>
    </row>
    <row r="63" spans="1:8" ht="35.25" customHeight="1">
      <c r="A63" s="126"/>
      <c r="B63" s="100" t="s">
        <v>252</v>
      </c>
      <c r="C63" s="106"/>
      <c r="D63" s="167">
        <v>1.3</v>
      </c>
      <c r="E63" s="167"/>
      <c r="F63" s="259">
        <f>4.7+7.8</f>
        <v>12.5</v>
      </c>
      <c r="G63" s="54">
        <f t="shared" si="4"/>
        <v>12.5</v>
      </c>
      <c r="H63" s="53"/>
    </row>
    <row r="64" spans="1:8">
      <c r="A64" s="126"/>
      <c r="B64" s="100" t="s">
        <v>291</v>
      </c>
      <c r="C64" s="106"/>
      <c r="D64" s="167"/>
      <c r="E64" s="167"/>
      <c r="F64" s="259">
        <v>2.4</v>
      </c>
      <c r="G64" s="54">
        <f t="shared" si="4"/>
        <v>2.4</v>
      </c>
      <c r="H64" s="53"/>
    </row>
    <row r="65" spans="1:8" ht="35.25" customHeight="1">
      <c r="A65" s="126"/>
      <c r="B65" s="100" t="s">
        <v>286</v>
      </c>
      <c r="C65" s="106"/>
      <c r="D65" s="167"/>
      <c r="E65" s="167"/>
      <c r="F65" s="259">
        <v>5.8</v>
      </c>
      <c r="G65" s="54">
        <f t="shared" si="4"/>
        <v>5.8</v>
      </c>
      <c r="H65" s="53"/>
    </row>
    <row r="66" spans="1:8">
      <c r="A66" s="126"/>
      <c r="B66" s="100" t="s">
        <v>255</v>
      </c>
      <c r="C66" s="106"/>
      <c r="D66" s="167"/>
      <c r="E66" s="167"/>
      <c r="F66" s="259">
        <f>2.4+4.8</f>
        <v>7.1999999999999993</v>
      </c>
      <c r="G66" s="54">
        <f t="shared" si="4"/>
        <v>7.1999999999999993</v>
      </c>
      <c r="H66" s="53"/>
    </row>
    <row r="67" spans="1:8">
      <c r="A67" s="126"/>
      <c r="B67" s="100" t="s">
        <v>256</v>
      </c>
      <c r="C67" s="106"/>
      <c r="D67" s="167"/>
      <c r="E67" s="167"/>
      <c r="F67" s="259">
        <v>8.6</v>
      </c>
      <c r="G67" s="54">
        <f t="shared" si="4"/>
        <v>8.6</v>
      </c>
      <c r="H67" s="53"/>
    </row>
    <row r="68" spans="1:8">
      <c r="A68" s="126"/>
      <c r="B68" s="100" t="s">
        <v>450</v>
      </c>
      <c r="C68" s="106"/>
      <c r="D68" s="167"/>
      <c r="E68" s="167"/>
      <c r="F68" s="259">
        <v>305.8</v>
      </c>
      <c r="G68" s="54">
        <f t="shared" si="4"/>
        <v>305.8</v>
      </c>
      <c r="H68" s="53"/>
    </row>
    <row r="69" spans="1:8">
      <c r="A69" s="126"/>
      <c r="B69" s="100" t="s">
        <v>257</v>
      </c>
      <c r="C69" s="106"/>
      <c r="D69" s="167"/>
      <c r="E69" s="167"/>
      <c r="F69" s="259">
        <v>11.5</v>
      </c>
      <c r="G69" s="54">
        <f t="shared" si="4"/>
        <v>11.5</v>
      </c>
      <c r="H69" s="53"/>
    </row>
    <row r="70" spans="1:8">
      <c r="A70" s="126"/>
      <c r="B70" s="100" t="s">
        <v>451</v>
      </c>
      <c r="C70" s="106"/>
      <c r="D70" s="167"/>
      <c r="E70" s="167"/>
      <c r="F70" s="259">
        <v>1.2</v>
      </c>
      <c r="G70" s="54">
        <f t="shared" si="4"/>
        <v>1.2</v>
      </c>
      <c r="H70" s="53"/>
    </row>
    <row r="71" spans="1:8">
      <c r="A71" s="126"/>
      <c r="B71" s="125" t="s">
        <v>411</v>
      </c>
      <c r="C71" s="139"/>
      <c r="D71" s="56"/>
      <c r="E71" s="56"/>
      <c r="F71" s="260">
        <v>32.1</v>
      </c>
      <c r="G71" s="54">
        <f t="shared" si="4"/>
        <v>32.1</v>
      </c>
      <c r="H71" s="53"/>
    </row>
    <row r="72" spans="1:8">
      <c r="A72" s="126"/>
      <c r="B72" s="100" t="s">
        <v>258</v>
      </c>
      <c r="C72" s="106"/>
      <c r="D72" s="167"/>
      <c r="E72" s="167"/>
      <c r="F72" s="259">
        <v>1.6</v>
      </c>
      <c r="G72" s="54">
        <f t="shared" si="4"/>
        <v>1.6</v>
      </c>
      <c r="H72" s="53"/>
    </row>
    <row r="73" spans="1:8">
      <c r="A73" s="126"/>
      <c r="B73" s="103" t="s">
        <v>259</v>
      </c>
      <c r="C73" s="106"/>
      <c r="D73" s="167"/>
      <c r="E73" s="167"/>
      <c r="F73" s="259">
        <v>2.7</v>
      </c>
      <c r="G73" s="54">
        <f t="shared" si="4"/>
        <v>2.7</v>
      </c>
      <c r="H73" s="53"/>
    </row>
    <row r="74" spans="1:8">
      <c r="A74" s="126"/>
      <c r="B74" s="103" t="s">
        <v>344</v>
      </c>
      <c r="C74" s="119"/>
      <c r="D74" s="110"/>
      <c r="E74" s="107"/>
      <c r="F74" s="150">
        <v>190</v>
      </c>
      <c r="G74" s="54">
        <f t="shared" si="4"/>
        <v>190</v>
      </c>
      <c r="H74" s="53"/>
    </row>
    <row r="75" spans="1:8">
      <c r="A75" s="126"/>
      <c r="B75" s="122" t="s">
        <v>260</v>
      </c>
      <c r="C75" s="106"/>
      <c r="D75" s="167"/>
      <c r="E75" s="167"/>
      <c r="F75" s="259">
        <f>1598.3</f>
        <v>1598.3</v>
      </c>
      <c r="G75" s="54">
        <f t="shared" si="4"/>
        <v>1598.3</v>
      </c>
      <c r="H75" s="53"/>
    </row>
    <row r="76" spans="1:8">
      <c r="A76" s="126"/>
      <c r="B76" s="123" t="s">
        <v>261</v>
      </c>
      <c r="C76" s="106"/>
      <c r="D76" s="167"/>
      <c r="E76" s="167"/>
      <c r="F76" s="259">
        <f>317.1+0.5</f>
        <v>317.60000000000002</v>
      </c>
      <c r="G76" s="54">
        <f t="shared" si="4"/>
        <v>317.60000000000002</v>
      </c>
      <c r="H76" s="53"/>
    </row>
    <row r="77" spans="1:8">
      <c r="A77" s="111"/>
      <c r="B77" s="110" t="s">
        <v>262</v>
      </c>
      <c r="C77" s="106"/>
      <c r="D77" s="167"/>
      <c r="E77" s="167"/>
      <c r="F77" s="259">
        <f>917.1+0.2</f>
        <v>917.30000000000007</v>
      </c>
      <c r="G77" s="54">
        <f t="shared" si="4"/>
        <v>917.30000000000007</v>
      </c>
      <c r="H77" s="53"/>
    </row>
    <row r="78" spans="1:8">
      <c r="A78" s="111"/>
      <c r="B78" s="138" t="s">
        <v>287</v>
      </c>
      <c r="C78" s="106"/>
      <c r="D78" s="167"/>
      <c r="E78" s="167"/>
      <c r="F78" s="259">
        <v>8.4</v>
      </c>
      <c r="G78" s="54">
        <f t="shared" si="4"/>
        <v>8.4</v>
      </c>
      <c r="H78" s="53"/>
    </row>
    <row r="79" spans="1:8">
      <c r="A79" s="111"/>
      <c r="B79" s="123" t="s">
        <v>263</v>
      </c>
      <c r="C79" s="106"/>
      <c r="D79" s="167"/>
      <c r="E79" s="167"/>
      <c r="F79" s="259">
        <f>1.9+1.1+112.2</f>
        <v>115.2</v>
      </c>
      <c r="G79" s="54">
        <f t="shared" si="4"/>
        <v>115.2</v>
      </c>
      <c r="H79" s="53"/>
    </row>
    <row r="80" spans="1:8">
      <c r="A80" s="111"/>
      <c r="B80" s="123" t="s">
        <v>288</v>
      </c>
      <c r="C80" s="106"/>
      <c r="D80" s="167"/>
      <c r="E80" s="167"/>
      <c r="F80" s="259">
        <v>0.9</v>
      </c>
      <c r="G80" s="54">
        <f t="shared" si="4"/>
        <v>0.9</v>
      </c>
      <c r="H80" s="53"/>
    </row>
    <row r="81" spans="1:8">
      <c r="A81" s="111"/>
      <c r="B81" s="100" t="s">
        <v>452</v>
      </c>
      <c r="C81" s="106"/>
      <c r="D81" s="167"/>
      <c r="E81" s="167"/>
      <c r="F81" s="259">
        <v>3.2</v>
      </c>
      <c r="G81" s="54">
        <f t="shared" si="4"/>
        <v>3.2</v>
      </c>
      <c r="H81" s="53"/>
    </row>
    <row r="82" spans="1:8">
      <c r="A82" s="111"/>
      <c r="B82" s="100" t="s">
        <v>264</v>
      </c>
      <c r="C82" s="106"/>
      <c r="D82" s="167">
        <v>8.4</v>
      </c>
      <c r="E82" s="167"/>
      <c r="F82" s="259">
        <f>4.5+2.3</f>
        <v>6.8</v>
      </c>
      <c r="G82" s="54">
        <f t="shared" si="4"/>
        <v>6.8</v>
      </c>
      <c r="H82" s="53"/>
    </row>
    <row r="83" spans="1:8" s="57" customFormat="1" ht="39" customHeight="1">
      <c r="A83" s="354" t="s">
        <v>135</v>
      </c>
      <c r="B83" s="355"/>
      <c r="C83" s="2"/>
      <c r="D83" s="55"/>
      <c r="E83" s="55"/>
      <c r="F83" s="55"/>
      <c r="G83" s="54"/>
      <c r="H83" s="53"/>
    </row>
    <row r="84" spans="1:8" s="57" customFormat="1" ht="32.25" customHeight="1">
      <c r="A84" s="354" t="s">
        <v>133</v>
      </c>
      <c r="B84" s="355"/>
      <c r="C84" s="51">
        <v>1021</v>
      </c>
      <c r="D84" s="55">
        <f>SUM(D85:D91)</f>
        <v>1072.8999999999999</v>
      </c>
      <c r="E84" s="55">
        <f t="shared" ref="E84:F84" si="8">SUM(E85:E91)</f>
        <v>695.1</v>
      </c>
      <c r="F84" s="55">
        <f t="shared" si="8"/>
        <v>0</v>
      </c>
      <c r="G84" s="53">
        <f t="shared" si="4"/>
        <v>-695.1</v>
      </c>
      <c r="H84" s="53">
        <f t="shared" si="6"/>
        <v>0</v>
      </c>
    </row>
    <row r="85" spans="1:8" s="57" customFormat="1" ht="32.25" customHeight="1">
      <c r="A85" s="177"/>
      <c r="B85" s="100" t="s">
        <v>453</v>
      </c>
      <c r="C85" s="155"/>
      <c r="D85" s="167">
        <f>168+46.3</f>
        <v>214.3</v>
      </c>
      <c r="E85" s="167">
        <f>38.9+118</f>
        <v>156.9</v>
      </c>
      <c r="F85" s="167"/>
      <c r="G85" s="54">
        <f t="shared" si="4"/>
        <v>-156.9</v>
      </c>
      <c r="H85" s="53"/>
    </row>
    <row r="86" spans="1:8" s="57" customFormat="1" ht="27.75" customHeight="1">
      <c r="A86" s="177"/>
      <c r="B86" s="100" t="s">
        <v>448</v>
      </c>
      <c r="C86" s="155"/>
      <c r="D86" s="167">
        <v>16</v>
      </c>
      <c r="E86" s="167">
        <v>10.1</v>
      </c>
      <c r="F86" s="167"/>
      <c r="G86" s="54">
        <f t="shared" si="4"/>
        <v>-10.1</v>
      </c>
      <c r="H86" s="53"/>
    </row>
    <row r="87" spans="1:8" s="57" customFormat="1" ht="36" customHeight="1">
      <c r="A87" s="177"/>
      <c r="B87" s="100" t="s">
        <v>240</v>
      </c>
      <c r="C87" s="155"/>
      <c r="D87" s="167">
        <f>32.6+64.1+28.4</f>
        <v>125.1</v>
      </c>
      <c r="E87" s="167">
        <f>17.2+28</f>
        <v>45.2</v>
      </c>
      <c r="F87" s="167"/>
      <c r="G87" s="54">
        <f t="shared" si="4"/>
        <v>-45.2</v>
      </c>
      <c r="H87" s="53"/>
    </row>
    <row r="88" spans="1:8" s="57" customFormat="1" ht="32.25" customHeight="1">
      <c r="A88" s="177"/>
      <c r="B88" s="100" t="s">
        <v>391</v>
      </c>
      <c r="C88" s="155"/>
      <c r="D88" s="167">
        <f>23.7+45.6+38.5+0.3+215.6</f>
        <v>323.7</v>
      </c>
      <c r="E88" s="167">
        <f>2.5+10.9+203.5</f>
        <v>216.9</v>
      </c>
      <c r="F88" s="167"/>
      <c r="G88" s="54">
        <f t="shared" si="4"/>
        <v>-216.9</v>
      </c>
      <c r="H88" s="53"/>
    </row>
    <row r="89" spans="1:8" s="57" customFormat="1" ht="32.25" customHeight="1">
      <c r="A89" s="177"/>
      <c r="B89" s="100" t="s">
        <v>312</v>
      </c>
      <c r="C89" s="155"/>
      <c r="D89" s="167">
        <f>3.5+26.1+28.6</f>
        <v>58.2</v>
      </c>
      <c r="E89" s="167">
        <v>266</v>
      </c>
      <c r="F89" s="167"/>
      <c r="G89" s="54">
        <f t="shared" si="4"/>
        <v>-266</v>
      </c>
      <c r="H89" s="53"/>
    </row>
    <row r="90" spans="1:8" s="57" customFormat="1" ht="32.25" customHeight="1">
      <c r="A90" s="177"/>
      <c r="B90" s="100" t="s">
        <v>348</v>
      </c>
      <c r="C90" s="155"/>
      <c r="D90" s="167">
        <v>325.8</v>
      </c>
      <c r="E90" s="167"/>
      <c r="F90" s="167"/>
      <c r="G90" s="54">
        <f t="shared" si="4"/>
        <v>0</v>
      </c>
      <c r="H90" s="53"/>
    </row>
    <row r="91" spans="1:8" s="57" customFormat="1" ht="32.25" customHeight="1">
      <c r="A91" s="177"/>
      <c r="B91" s="117" t="s">
        <v>313</v>
      </c>
      <c r="C91" s="106"/>
      <c r="D91" s="175">
        <v>9.8000000000000007</v>
      </c>
      <c r="E91" s="175"/>
      <c r="F91" s="175"/>
      <c r="G91" s="54">
        <f t="shared" si="4"/>
        <v>0</v>
      </c>
      <c r="H91" s="53"/>
    </row>
    <row r="92" spans="1:8" s="57" customFormat="1" ht="32.25" customHeight="1">
      <c r="A92" s="368" t="s">
        <v>136</v>
      </c>
      <c r="B92" s="369"/>
      <c r="C92" s="155">
        <v>1025</v>
      </c>
      <c r="D92" s="176">
        <f>SUM(D94:D112)</f>
        <v>6172.7000000000007</v>
      </c>
      <c r="E92" s="176">
        <f>SUM(E94:E112)</f>
        <v>5281.5</v>
      </c>
      <c r="F92" s="176">
        <f>SUM(F93:F112)</f>
        <v>256.8</v>
      </c>
      <c r="G92" s="53">
        <f t="shared" si="4"/>
        <v>-5024.7</v>
      </c>
      <c r="H92" s="53">
        <f>G92/F92*100</f>
        <v>-1956.6588785046727</v>
      </c>
    </row>
    <row r="93" spans="1:8" s="57" customFormat="1">
      <c r="A93" s="97"/>
      <c r="B93" s="100" t="s">
        <v>454</v>
      </c>
      <c r="C93" s="142"/>
      <c r="D93" s="167">
        <v>332.9</v>
      </c>
      <c r="E93" s="167">
        <v>532.79999999999995</v>
      </c>
      <c r="F93" s="167"/>
      <c r="G93" s="54">
        <f t="shared" si="4"/>
        <v>-532.79999999999995</v>
      </c>
      <c r="H93" s="53"/>
    </row>
    <row r="94" spans="1:8" s="57" customFormat="1">
      <c r="A94" s="98"/>
      <c r="B94" s="100" t="s">
        <v>291</v>
      </c>
      <c r="C94" s="155"/>
      <c r="D94" s="167">
        <v>9.3000000000000007</v>
      </c>
      <c r="E94" s="167">
        <v>8.6999999999999993</v>
      </c>
      <c r="F94" s="167"/>
      <c r="G94" s="54">
        <f t="shared" si="4"/>
        <v>-8.6999999999999993</v>
      </c>
      <c r="H94" s="53"/>
    </row>
    <row r="95" spans="1:8" s="57" customFormat="1">
      <c r="A95" s="98"/>
      <c r="B95" s="100" t="s">
        <v>227</v>
      </c>
      <c r="C95" s="155"/>
      <c r="D95" s="167">
        <f>0.4+0.3+20.6+0.1</f>
        <v>21.400000000000002</v>
      </c>
      <c r="E95" s="167">
        <f>5.5+16.8</f>
        <v>22.3</v>
      </c>
      <c r="F95" s="167">
        <f>5.5</f>
        <v>5.5</v>
      </c>
      <c r="G95" s="54">
        <f t="shared" si="4"/>
        <v>-16.8</v>
      </c>
      <c r="H95" s="54">
        <f t="shared" ref="H95:H111" si="9">G95/F95*100</f>
        <v>-305.4545454545455</v>
      </c>
    </row>
    <row r="96" spans="1:8" s="57" customFormat="1">
      <c r="A96" s="177"/>
      <c r="B96" s="100" t="s">
        <v>414</v>
      </c>
      <c r="C96" s="155"/>
      <c r="D96" s="167"/>
      <c r="E96" s="167"/>
      <c r="F96" s="167">
        <v>120.6</v>
      </c>
      <c r="G96" s="54">
        <f t="shared" si="4"/>
        <v>120.6</v>
      </c>
      <c r="H96" s="54">
        <f t="shared" si="9"/>
        <v>100</v>
      </c>
    </row>
    <row r="97" spans="1:8" s="57" customFormat="1">
      <c r="A97" s="177"/>
      <c r="B97" s="125" t="s">
        <v>317</v>
      </c>
      <c r="C97" s="155"/>
      <c r="D97" s="167">
        <v>71.099999999999994</v>
      </c>
      <c r="E97" s="167">
        <f>18.8+43.5</f>
        <v>62.3</v>
      </c>
      <c r="F97" s="167"/>
      <c r="G97" s="54">
        <f t="shared" si="4"/>
        <v>-62.3</v>
      </c>
      <c r="H97" s="54"/>
    </row>
    <row r="98" spans="1:8" s="57" customFormat="1">
      <c r="A98" s="177"/>
      <c r="B98" s="125" t="s">
        <v>251</v>
      </c>
      <c r="C98" s="155"/>
      <c r="D98" s="167">
        <f>38.3+178.9+300+414.8+9.3+4.4+0.4</f>
        <v>946.09999999999991</v>
      </c>
      <c r="E98" s="167">
        <f>121.2+56.5+175.8+9.1+4</f>
        <v>366.6</v>
      </c>
      <c r="F98" s="167">
        <f>73.9+2.1</f>
        <v>76</v>
      </c>
      <c r="G98" s="54">
        <f t="shared" si="4"/>
        <v>-290.60000000000002</v>
      </c>
      <c r="H98" s="54">
        <f t="shared" si="9"/>
        <v>-382.36842105263162</v>
      </c>
    </row>
    <row r="99" spans="1:8" s="57" customFormat="1" ht="32.25" customHeight="1">
      <c r="A99" s="177"/>
      <c r="B99" s="100" t="s">
        <v>271</v>
      </c>
      <c r="C99" s="155"/>
      <c r="D99" s="167">
        <f>8.7+0.5+407.3+155.5+98.8</f>
        <v>670.8</v>
      </c>
      <c r="E99" s="167">
        <f>128.7+76.1+81+0.2</f>
        <v>285.99999999999994</v>
      </c>
      <c r="F99" s="167"/>
      <c r="G99" s="54">
        <f t="shared" si="4"/>
        <v>-285.99999999999994</v>
      </c>
      <c r="H99" s="54"/>
    </row>
    <row r="100" spans="1:8" s="57" customFormat="1" ht="26.25" customHeight="1">
      <c r="A100" s="177"/>
      <c r="B100" s="100" t="s">
        <v>292</v>
      </c>
      <c r="C100" s="155"/>
      <c r="D100" s="167">
        <f>0.2+22.6+7.5</f>
        <v>30.3</v>
      </c>
      <c r="E100" s="167">
        <f>40</f>
        <v>40</v>
      </c>
      <c r="F100" s="167"/>
      <c r="G100" s="54">
        <f t="shared" si="4"/>
        <v>-40</v>
      </c>
      <c r="H100" s="54"/>
    </row>
    <row r="101" spans="1:8" s="57" customFormat="1">
      <c r="A101" s="177"/>
      <c r="B101" s="100" t="s">
        <v>233</v>
      </c>
      <c r="C101" s="155"/>
      <c r="D101" s="167">
        <v>3.4</v>
      </c>
      <c r="E101" s="167">
        <f>0.9+2.8</f>
        <v>3.6999999999999997</v>
      </c>
      <c r="F101" s="167">
        <v>3.7</v>
      </c>
      <c r="G101" s="54">
        <f t="shared" si="4"/>
        <v>0</v>
      </c>
      <c r="H101" s="54">
        <f t="shared" si="9"/>
        <v>0</v>
      </c>
    </row>
    <row r="102" spans="1:8" s="57" customFormat="1" ht="56.25">
      <c r="A102" s="177"/>
      <c r="B102" s="100" t="s">
        <v>232</v>
      </c>
      <c r="C102" s="155"/>
      <c r="D102" s="167">
        <f>14.1+20.1+9.8</f>
        <v>44</v>
      </c>
      <c r="E102" s="167">
        <f>5.4+22.4</f>
        <v>27.799999999999997</v>
      </c>
      <c r="F102" s="167">
        <v>27</v>
      </c>
      <c r="G102" s="54">
        <f t="shared" si="4"/>
        <v>-0.79999999999999716</v>
      </c>
      <c r="H102" s="54">
        <f t="shared" si="9"/>
        <v>-2.9629629629629521</v>
      </c>
    </row>
    <row r="103" spans="1:8" s="57" customFormat="1" ht="37.5">
      <c r="A103" s="177"/>
      <c r="B103" s="100" t="s">
        <v>293</v>
      </c>
      <c r="C103" s="155"/>
      <c r="D103" s="167">
        <f>0.7+1.7+19.4</f>
        <v>21.799999999999997</v>
      </c>
      <c r="E103" s="167">
        <v>3.2</v>
      </c>
      <c r="F103" s="167">
        <v>4.4000000000000004</v>
      </c>
      <c r="G103" s="54">
        <f t="shared" si="4"/>
        <v>1.2000000000000002</v>
      </c>
      <c r="H103" s="54">
        <f t="shared" si="9"/>
        <v>27.272727272727277</v>
      </c>
    </row>
    <row r="104" spans="1:8" s="57" customFormat="1">
      <c r="A104" s="98"/>
      <c r="B104" s="100" t="s">
        <v>264</v>
      </c>
      <c r="C104" s="155"/>
      <c r="D104" s="167">
        <f>2.7+1.8</f>
        <v>4.5</v>
      </c>
      <c r="E104" s="167">
        <v>4.5</v>
      </c>
      <c r="F104" s="167"/>
      <c r="G104" s="54">
        <f t="shared" si="4"/>
        <v>-4.5</v>
      </c>
      <c r="H104" s="54"/>
    </row>
    <row r="105" spans="1:8" s="57" customFormat="1">
      <c r="A105" s="177"/>
      <c r="B105" s="100" t="s">
        <v>260</v>
      </c>
      <c r="C105" s="155"/>
      <c r="D105" s="167">
        <f>4+2404.9+1.3+23.3</f>
        <v>2433.5000000000005</v>
      </c>
      <c r="E105" s="167">
        <f>2586.2+25.6</f>
        <v>2611.7999999999997</v>
      </c>
      <c r="F105" s="167"/>
      <c r="G105" s="54">
        <f t="shared" si="4"/>
        <v>-2611.7999999999997</v>
      </c>
      <c r="H105" s="54"/>
    </row>
    <row r="106" spans="1:8" s="57" customFormat="1" ht="20.25" customHeight="1">
      <c r="A106" s="177"/>
      <c r="B106" s="100" t="s">
        <v>261</v>
      </c>
      <c r="C106" s="155"/>
      <c r="D106" s="167">
        <f>294.5+5.4+2.7</f>
        <v>302.59999999999997</v>
      </c>
      <c r="E106" s="167">
        <f>319+2.9</f>
        <v>321.89999999999998</v>
      </c>
      <c r="F106" s="167"/>
      <c r="G106" s="54">
        <f t="shared" si="4"/>
        <v>-321.89999999999998</v>
      </c>
      <c r="H106" s="54"/>
    </row>
    <row r="107" spans="1:8" s="57" customFormat="1">
      <c r="A107" s="177"/>
      <c r="B107" s="100" t="s">
        <v>262</v>
      </c>
      <c r="C107" s="155"/>
      <c r="D107" s="167">
        <f>1094.3+5.3+35.6</f>
        <v>1135.1999999999998</v>
      </c>
      <c r="E107" s="167">
        <f>1360+38.9</f>
        <v>1398.9</v>
      </c>
      <c r="F107" s="167"/>
      <c r="G107" s="54">
        <f t="shared" si="4"/>
        <v>-1398.9</v>
      </c>
      <c r="H107" s="54"/>
    </row>
    <row r="108" spans="1:8" s="57" customFormat="1">
      <c r="A108" s="177"/>
      <c r="B108" s="100" t="s">
        <v>263</v>
      </c>
      <c r="C108" s="155"/>
      <c r="D108" s="167">
        <f>104.6+2.4+0.4</f>
        <v>107.4</v>
      </c>
      <c r="E108" s="167">
        <f>101.1+0.5</f>
        <v>101.6</v>
      </c>
      <c r="F108" s="167"/>
      <c r="G108" s="54">
        <f t="shared" si="4"/>
        <v>-101.6</v>
      </c>
      <c r="H108" s="54"/>
    </row>
    <row r="109" spans="1:8" s="57" customFormat="1">
      <c r="A109" s="177"/>
      <c r="B109" s="100" t="s">
        <v>294</v>
      </c>
      <c r="C109" s="155"/>
      <c r="D109" s="167">
        <f>2.2+0.7</f>
        <v>2.9000000000000004</v>
      </c>
      <c r="E109" s="167"/>
      <c r="F109" s="167"/>
      <c r="G109" s="54">
        <f t="shared" si="4"/>
        <v>0</v>
      </c>
      <c r="H109" s="54"/>
    </row>
    <row r="110" spans="1:8" s="57" customFormat="1">
      <c r="A110" s="177"/>
      <c r="B110" s="178" t="s">
        <v>455</v>
      </c>
      <c r="C110" s="155"/>
      <c r="D110" s="167">
        <v>6.6</v>
      </c>
      <c r="E110" s="167"/>
      <c r="F110" s="167"/>
      <c r="G110" s="54">
        <f t="shared" si="4"/>
        <v>0</v>
      </c>
      <c r="H110" s="54"/>
    </row>
    <row r="111" spans="1:8" s="57" customFormat="1" ht="37.5" customHeight="1">
      <c r="A111" s="177"/>
      <c r="B111" s="117" t="s">
        <v>269</v>
      </c>
      <c r="C111" s="155"/>
      <c r="D111" s="167"/>
      <c r="E111" s="167">
        <v>22.2</v>
      </c>
      <c r="F111" s="167">
        <v>19.600000000000001</v>
      </c>
      <c r="G111" s="54">
        <f t="shared" si="4"/>
        <v>-2.5999999999999979</v>
      </c>
      <c r="H111" s="54">
        <f t="shared" si="9"/>
        <v>-13.265306122448967</v>
      </c>
    </row>
    <row r="112" spans="1:8" s="57" customFormat="1">
      <c r="A112" s="177"/>
      <c r="B112" s="110" t="s">
        <v>395</v>
      </c>
      <c r="C112" s="155"/>
      <c r="D112" s="167">
        <v>361.8</v>
      </c>
      <c r="E112" s="167"/>
      <c r="F112" s="167"/>
      <c r="G112" s="54">
        <f t="shared" si="4"/>
        <v>0</v>
      </c>
      <c r="H112" s="53"/>
    </row>
    <row r="113" spans="1:8" s="57" customFormat="1" ht="37.5" customHeight="1">
      <c r="A113" s="354" t="s">
        <v>199</v>
      </c>
      <c r="B113" s="355"/>
      <c r="C113" s="2"/>
      <c r="D113" s="55"/>
      <c r="E113" s="55"/>
      <c r="F113" s="55"/>
      <c r="G113" s="54"/>
      <c r="H113" s="53"/>
    </row>
    <row r="114" spans="1:8" s="57" customFormat="1" ht="39" customHeight="1">
      <c r="A114" s="354" t="s">
        <v>176</v>
      </c>
      <c r="B114" s="355"/>
      <c r="C114" s="2">
        <v>1031</v>
      </c>
      <c r="D114" s="55">
        <f>SUM(D115:D126)</f>
        <v>8062.6</v>
      </c>
      <c r="E114" s="55">
        <f t="shared" ref="E114:F114" si="10">SUM(E115:E126)</f>
        <v>1223.8</v>
      </c>
      <c r="F114" s="55">
        <f t="shared" si="10"/>
        <v>25.6</v>
      </c>
      <c r="G114" s="53">
        <f t="shared" si="4"/>
        <v>-1198.2</v>
      </c>
      <c r="H114" s="53">
        <f t="shared" si="6"/>
        <v>2.0918450727243014</v>
      </c>
    </row>
    <row r="115" spans="1:8" s="57" customFormat="1">
      <c r="A115" s="177"/>
      <c r="B115" s="100" t="s">
        <v>214</v>
      </c>
      <c r="C115" s="155"/>
      <c r="D115" s="167">
        <v>581.1</v>
      </c>
      <c r="E115" s="167">
        <f>714.8+50+22.2</f>
        <v>787</v>
      </c>
      <c r="F115" s="167"/>
      <c r="G115" s="54">
        <f t="shared" si="4"/>
        <v>-787</v>
      </c>
      <c r="H115" s="53">
        <f t="shared" si="6"/>
        <v>0</v>
      </c>
    </row>
    <row r="116" spans="1:8" s="57" customFormat="1">
      <c r="A116" s="177"/>
      <c r="B116" s="100" t="s">
        <v>296</v>
      </c>
      <c r="C116" s="155"/>
      <c r="D116" s="167">
        <v>25.1</v>
      </c>
      <c r="E116" s="167"/>
      <c r="F116" s="167"/>
      <c r="G116" s="54">
        <f t="shared" si="4"/>
        <v>0</v>
      </c>
      <c r="H116" s="53"/>
    </row>
    <row r="117" spans="1:8" s="57" customFormat="1" ht="39" customHeight="1">
      <c r="A117" s="177"/>
      <c r="B117" s="100" t="s">
        <v>280</v>
      </c>
      <c r="C117" s="142"/>
      <c r="D117" s="167"/>
      <c r="E117" s="167">
        <f>18.7+13+8.3</f>
        <v>40</v>
      </c>
      <c r="F117" s="167"/>
      <c r="G117" s="54">
        <f t="shared" si="4"/>
        <v>-40</v>
      </c>
      <c r="H117" s="53">
        <f t="shared" si="6"/>
        <v>0</v>
      </c>
    </row>
    <row r="118" spans="1:8" s="57" customFormat="1">
      <c r="A118" s="98"/>
      <c r="B118" s="179" t="s">
        <v>213</v>
      </c>
      <c r="C118" s="155"/>
      <c r="D118" s="167">
        <f>354+97.5+50.4+20.2</f>
        <v>522.1</v>
      </c>
      <c r="E118" s="167">
        <v>130</v>
      </c>
      <c r="F118" s="167"/>
      <c r="G118" s="54">
        <f t="shared" si="4"/>
        <v>-130</v>
      </c>
      <c r="H118" s="53">
        <f t="shared" si="6"/>
        <v>0</v>
      </c>
    </row>
    <row r="119" spans="1:8" s="57" customFormat="1" ht="56.25" customHeight="1">
      <c r="A119" s="177"/>
      <c r="B119" s="100" t="s">
        <v>355</v>
      </c>
      <c r="C119" s="101"/>
      <c r="D119" s="167">
        <v>138.80000000000001</v>
      </c>
      <c r="E119" s="167"/>
      <c r="F119" s="167"/>
      <c r="G119" s="54">
        <f t="shared" si="4"/>
        <v>0</v>
      </c>
      <c r="H119" s="53"/>
    </row>
    <row r="120" spans="1:8" s="57" customFormat="1" ht="39" customHeight="1">
      <c r="A120" s="177"/>
      <c r="B120" s="100" t="s">
        <v>334</v>
      </c>
      <c r="C120" s="101"/>
      <c r="D120" s="167">
        <v>2065.6</v>
      </c>
      <c r="E120" s="167"/>
      <c r="F120" s="167"/>
      <c r="G120" s="54">
        <f t="shared" si="4"/>
        <v>0</v>
      </c>
      <c r="H120" s="53"/>
    </row>
    <row r="121" spans="1:8" s="57" customFormat="1" ht="24.75" customHeight="1">
      <c r="A121" s="177"/>
      <c r="B121" s="100" t="s">
        <v>388</v>
      </c>
      <c r="C121" s="101"/>
      <c r="D121" s="167">
        <f>1804.4+743.1</f>
        <v>2547.5</v>
      </c>
      <c r="E121" s="167"/>
      <c r="F121" s="167"/>
      <c r="G121" s="54">
        <f t="shared" si="4"/>
        <v>0</v>
      </c>
      <c r="H121" s="53"/>
    </row>
    <row r="122" spans="1:8" s="57" customFormat="1">
      <c r="A122" s="177"/>
      <c r="B122" s="100" t="s">
        <v>354</v>
      </c>
      <c r="C122" s="101"/>
      <c r="D122" s="167"/>
      <c r="E122" s="167"/>
      <c r="F122" s="167">
        <v>25.6</v>
      </c>
      <c r="G122" s="54">
        <f t="shared" si="4"/>
        <v>25.6</v>
      </c>
      <c r="H122" s="53"/>
    </row>
    <row r="123" spans="1:8" s="57" customFormat="1">
      <c r="A123" s="177"/>
      <c r="B123" s="125" t="s">
        <v>456</v>
      </c>
      <c r="C123" s="101"/>
      <c r="D123" s="167">
        <v>124.3</v>
      </c>
      <c r="E123" s="167"/>
      <c r="F123" s="167"/>
      <c r="G123" s="54">
        <f t="shared" si="4"/>
        <v>0</v>
      </c>
      <c r="H123" s="53"/>
    </row>
    <row r="124" spans="1:8" s="57" customFormat="1">
      <c r="A124" s="177"/>
      <c r="B124" s="125" t="s">
        <v>389</v>
      </c>
      <c r="C124" s="101"/>
      <c r="D124" s="167">
        <v>2040</v>
      </c>
      <c r="E124" s="167"/>
      <c r="F124" s="167"/>
      <c r="G124" s="54">
        <f t="shared" si="4"/>
        <v>0</v>
      </c>
      <c r="H124" s="53"/>
    </row>
    <row r="125" spans="1:8" s="57" customFormat="1">
      <c r="A125" s="177"/>
      <c r="B125" s="100" t="s">
        <v>351</v>
      </c>
      <c r="C125" s="155"/>
      <c r="D125" s="167"/>
      <c r="E125" s="167">
        <v>266.8</v>
      </c>
      <c r="F125" s="167"/>
      <c r="G125" s="54">
        <f t="shared" si="4"/>
        <v>-266.8</v>
      </c>
      <c r="H125" s="53">
        <f t="shared" si="6"/>
        <v>0</v>
      </c>
    </row>
    <row r="126" spans="1:8" s="57" customFormat="1" ht="75" customHeight="1">
      <c r="A126" s="177"/>
      <c r="B126" s="100" t="s">
        <v>391</v>
      </c>
      <c r="C126" s="155"/>
      <c r="D126" s="167">
        <v>18.100000000000001</v>
      </c>
      <c r="E126" s="167"/>
      <c r="F126" s="167"/>
      <c r="G126" s="54">
        <f t="shared" si="4"/>
        <v>0</v>
      </c>
      <c r="H126" s="53"/>
    </row>
    <row r="127" spans="1:8" s="57" customFormat="1" ht="37.5" customHeight="1">
      <c r="A127" s="354" t="s">
        <v>148</v>
      </c>
      <c r="B127" s="355"/>
      <c r="C127" s="2">
        <v>1035</v>
      </c>
      <c r="D127" s="55">
        <f>SUM(D128:D144)</f>
        <v>499.1</v>
      </c>
      <c r="E127" s="55">
        <f>SUM(E128:E144)</f>
        <v>508.90000000000003</v>
      </c>
      <c r="F127" s="55">
        <f>SUM(F128:F144)</f>
        <v>115.90000000000002</v>
      </c>
      <c r="G127" s="53">
        <f t="shared" si="4"/>
        <v>-393</v>
      </c>
      <c r="H127" s="53">
        <f t="shared" si="6"/>
        <v>22.774611908036945</v>
      </c>
    </row>
    <row r="128" spans="1:8" s="57" customFormat="1">
      <c r="A128" s="180"/>
      <c r="B128" s="100" t="s">
        <v>251</v>
      </c>
      <c r="C128" s="155"/>
      <c r="D128" s="167">
        <v>90.8</v>
      </c>
      <c r="E128" s="167"/>
      <c r="F128" s="167"/>
      <c r="G128" s="54">
        <f t="shared" ref="G128:G144" si="11">F128-E128</f>
        <v>0</v>
      </c>
      <c r="H128" s="53"/>
    </row>
    <row r="129" spans="1:8" s="57" customFormat="1">
      <c r="A129" s="180"/>
      <c r="B129" s="100" t="s">
        <v>254</v>
      </c>
      <c r="C129" s="155"/>
      <c r="D129" s="167">
        <v>1.2</v>
      </c>
      <c r="E129" s="167"/>
      <c r="F129" s="167">
        <v>0.4</v>
      </c>
      <c r="G129" s="54">
        <f t="shared" si="11"/>
        <v>0.4</v>
      </c>
      <c r="H129" s="53"/>
    </row>
    <row r="130" spans="1:8" s="57" customFormat="1">
      <c r="A130" s="180"/>
      <c r="B130" s="100" t="s">
        <v>300</v>
      </c>
      <c r="C130" s="155"/>
      <c r="D130" s="167">
        <v>10</v>
      </c>
      <c r="E130" s="167">
        <v>10.199999999999999</v>
      </c>
      <c r="F130" s="167"/>
      <c r="G130" s="54">
        <f t="shared" si="11"/>
        <v>-10.199999999999999</v>
      </c>
      <c r="H130" s="53">
        <f t="shared" ref="H130:H142" si="12">(F130/E130)*100</f>
        <v>0</v>
      </c>
    </row>
    <row r="131" spans="1:8" s="57" customFormat="1">
      <c r="A131" s="180"/>
      <c r="B131" s="100" t="s">
        <v>260</v>
      </c>
      <c r="C131" s="101"/>
      <c r="D131" s="175">
        <v>77.599999999999994</v>
      </c>
      <c r="E131" s="175">
        <v>78.8</v>
      </c>
      <c r="F131" s="175"/>
      <c r="G131" s="54">
        <f t="shared" si="11"/>
        <v>-78.8</v>
      </c>
      <c r="H131" s="53">
        <f t="shared" si="12"/>
        <v>0</v>
      </c>
    </row>
    <row r="132" spans="1:8" s="57" customFormat="1" ht="24.75" customHeight="1">
      <c r="A132" s="180"/>
      <c r="B132" s="100" t="s">
        <v>261</v>
      </c>
      <c r="C132" s="101"/>
      <c r="D132" s="175">
        <v>3.6</v>
      </c>
      <c r="E132" s="175">
        <v>5.0999999999999996</v>
      </c>
      <c r="F132" s="175">
        <v>11.4</v>
      </c>
      <c r="G132" s="54">
        <f t="shared" si="11"/>
        <v>6.3000000000000007</v>
      </c>
      <c r="H132" s="54">
        <f t="shared" si="12"/>
        <v>223.52941176470588</v>
      </c>
    </row>
    <row r="133" spans="1:8" s="57" customFormat="1">
      <c r="A133" s="180"/>
      <c r="B133" s="100" t="s">
        <v>262</v>
      </c>
      <c r="C133" s="101"/>
      <c r="D133" s="175">
        <v>62</v>
      </c>
      <c r="E133" s="175">
        <v>85.6</v>
      </c>
      <c r="F133" s="175">
        <v>0.9</v>
      </c>
      <c r="G133" s="54">
        <f t="shared" si="11"/>
        <v>-84.699999999999989</v>
      </c>
      <c r="H133" s="54">
        <f t="shared" si="12"/>
        <v>1.0514018691588787</v>
      </c>
    </row>
    <row r="134" spans="1:8" s="57" customFormat="1">
      <c r="A134" s="180"/>
      <c r="B134" s="100" t="s">
        <v>263</v>
      </c>
      <c r="C134" s="101"/>
      <c r="D134" s="175">
        <v>0.1</v>
      </c>
      <c r="E134" s="175">
        <f>0.2</f>
        <v>0.2</v>
      </c>
      <c r="F134" s="175">
        <f>28.5+0.4</f>
        <v>28.9</v>
      </c>
      <c r="G134" s="54">
        <f t="shared" si="11"/>
        <v>28.7</v>
      </c>
      <c r="H134" s="54">
        <f t="shared" si="12"/>
        <v>14449.999999999996</v>
      </c>
    </row>
    <row r="135" spans="1:8" s="57" customFormat="1">
      <c r="A135" s="180"/>
      <c r="B135" s="100" t="s">
        <v>457</v>
      </c>
      <c r="C135" s="101"/>
      <c r="D135" s="175"/>
      <c r="E135" s="175"/>
      <c r="F135" s="175">
        <v>6.7</v>
      </c>
      <c r="G135" s="54">
        <f t="shared" si="11"/>
        <v>6.7</v>
      </c>
      <c r="H135" s="54"/>
    </row>
    <row r="136" spans="1:8" s="57" customFormat="1" ht="37.5" customHeight="1">
      <c r="A136" s="180"/>
      <c r="B136" s="100" t="s">
        <v>299</v>
      </c>
      <c r="C136" s="155"/>
      <c r="D136" s="167">
        <v>0.8</v>
      </c>
      <c r="E136" s="167">
        <v>2.6</v>
      </c>
      <c r="F136" s="167"/>
      <c r="G136" s="54">
        <f t="shared" si="11"/>
        <v>-2.6</v>
      </c>
      <c r="H136" s="54">
        <f t="shared" si="12"/>
        <v>0</v>
      </c>
    </row>
    <row r="137" spans="1:8" s="57" customFormat="1">
      <c r="A137" s="180"/>
      <c r="B137" s="100" t="s">
        <v>227</v>
      </c>
      <c r="C137" s="155"/>
      <c r="D137" s="167"/>
      <c r="E137" s="167">
        <v>0.4</v>
      </c>
      <c r="F137" s="167"/>
      <c r="G137" s="54">
        <f t="shared" si="11"/>
        <v>-0.4</v>
      </c>
      <c r="H137" s="54">
        <f t="shared" si="12"/>
        <v>0</v>
      </c>
    </row>
    <row r="138" spans="1:8" s="57" customFormat="1">
      <c r="A138" s="180"/>
      <c r="B138" s="100" t="s">
        <v>458</v>
      </c>
      <c r="C138" s="155"/>
      <c r="D138" s="167">
        <v>2.4</v>
      </c>
      <c r="E138" s="167"/>
      <c r="F138" s="167"/>
      <c r="G138" s="54">
        <f t="shared" si="11"/>
        <v>0</v>
      </c>
      <c r="H138" s="54"/>
    </row>
    <row r="139" spans="1:8" s="57" customFormat="1">
      <c r="A139" s="118"/>
      <c r="B139" s="125" t="s">
        <v>450</v>
      </c>
      <c r="C139" s="142"/>
      <c r="D139" s="167"/>
      <c r="E139" s="167">
        <v>305.8</v>
      </c>
      <c r="F139" s="167"/>
      <c r="G139" s="54">
        <f t="shared" si="11"/>
        <v>-305.8</v>
      </c>
      <c r="H139" s="54">
        <f t="shared" si="12"/>
        <v>0</v>
      </c>
    </row>
    <row r="140" spans="1:8" s="57" customFormat="1">
      <c r="A140" s="118"/>
      <c r="B140" s="125" t="s">
        <v>459</v>
      </c>
      <c r="C140" s="142"/>
      <c r="D140" s="167">
        <v>0.8</v>
      </c>
      <c r="E140" s="167">
        <v>0.6</v>
      </c>
      <c r="F140" s="167">
        <v>0.6</v>
      </c>
      <c r="G140" s="54">
        <f t="shared" si="11"/>
        <v>0</v>
      </c>
      <c r="H140" s="54">
        <f t="shared" si="12"/>
        <v>100</v>
      </c>
    </row>
    <row r="141" spans="1:8" s="57" customFormat="1">
      <c r="A141" s="118"/>
      <c r="B141" s="125" t="s">
        <v>276</v>
      </c>
      <c r="C141" s="142"/>
      <c r="D141" s="167"/>
      <c r="E141" s="167"/>
      <c r="F141" s="167">
        <v>0.6</v>
      </c>
      <c r="G141" s="54">
        <f t="shared" si="11"/>
        <v>0.6</v>
      </c>
      <c r="H141" s="54"/>
    </row>
    <row r="142" spans="1:8" s="57" customFormat="1">
      <c r="A142" s="118"/>
      <c r="B142" s="125" t="s">
        <v>237</v>
      </c>
      <c r="C142" s="142"/>
      <c r="D142" s="167">
        <v>83.3</v>
      </c>
      <c r="E142" s="167">
        <v>19.600000000000001</v>
      </c>
      <c r="F142" s="167">
        <f>46.6+19.6</f>
        <v>66.2</v>
      </c>
      <c r="G142" s="54">
        <f t="shared" si="11"/>
        <v>46.6</v>
      </c>
      <c r="H142" s="54">
        <f t="shared" si="12"/>
        <v>337.75510204081633</v>
      </c>
    </row>
    <row r="143" spans="1:8" s="57" customFormat="1">
      <c r="A143" s="109"/>
      <c r="B143" s="100" t="s">
        <v>275</v>
      </c>
      <c r="C143" s="155"/>
      <c r="D143" s="167"/>
      <c r="E143" s="167"/>
      <c r="F143" s="167">
        <v>0.2</v>
      </c>
      <c r="G143" s="54">
        <f t="shared" si="11"/>
        <v>0.2</v>
      </c>
      <c r="H143" s="54"/>
    </row>
    <row r="144" spans="1:8" s="57" customFormat="1" ht="24.75" customHeight="1">
      <c r="A144" s="109"/>
      <c r="B144" s="100" t="s">
        <v>298</v>
      </c>
      <c r="C144" s="155"/>
      <c r="D144" s="167">
        <f>94+59.5+13</f>
        <v>166.5</v>
      </c>
      <c r="E144" s="167"/>
      <c r="F144" s="167"/>
      <c r="G144" s="54">
        <f t="shared" si="11"/>
        <v>0</v>
      </c>
      <c r="H144" s="54"/>
    </row>
    <row r="145" spans="2:9">
      <c r="B145" s="59"/>
      <c r="C145" s="60"/>
      <c r="D145" s="61"/>
      <c r="E145" s="62"/>
      <c r="F145" s="62"/>
    </row>
    <row r="146" spans="2:9" ht="24.75" customHeight="1">
      <c r="B146" s="63" t="s">
        <v>137</v>
      </c>
      <c r="C146" s="64"/>
      <c r="D146" s="358" t="s">
        <v>626</v>
      </c>
      <c r="E146" s="358"/>
      <c r="F146" s="65"/>
      <c r="G146" s="356" t="s">
        <v>625</v>
      </c>
      <c r="H146" s="356"/>
      <c r="I146" s="356"/>
    </row>
    <row r="147" spans="2:9">
      <c r="B147" s="66" t="s">
        <v>97</v>
      </c>
      <c r="C147" s="67"/>
      <c r="D147" s="359" t="s">
        <v>111</v>
      </c>
      <c r="E147" s="359"/>
      <c r="F147" s="68"/>
      <c r="G147" s="353" t="s">
        <v>21</v>
      </c>
      <c r="H147" s="353"/>
    </row>
    <row r="148" spans="2:9">
      <c r="B148" s="59"/>
      <c r="C148" s="60"/>
      <c r="D148" s="61"/>
      <c r="E148" s="62"/>
      <c r="F148" s="62"/>
    </row>
    <row r="149" spans="2:9">
      <c r="B149" s="59"/>
      <c r="C149" s="60"/>
      <c r="D149" s="61"/>
      <c r="E149" s="62"/>
      <c r="F149" s="62"/>
    </row>
    <row r="150" spans="2:9">
      <c r="B150" s="59"/>
      <c r="C150" s="60"/>
      <c r="D150" s="61"/>
      <c r="E150" s="62"/>
      <c r="F150" s="62"/>
    </row>
    <row r="151" spans="2:9">
      <c r="B151" s="59"/>
      <c r="C151" s="60"/>
      <c r="D151" s="61"/>
      <c r="E151" s="62"/>
      <c r="F151" s="62"/>
    </row>
    <row r="152" spans="2:9">
      <c r="B152" s="59"/>
      <c r="C152" s="60"/>
      <c r="D152" s="61"/>
      <c r="E152" s="62"/>
      <c r="F152" s="62"/>
    </row>
    <row r="153" spans="2:9">
      <c r="B153" s="59"/>
      <c r="C153" s="60"/>
      <c r="D153" s="61"/>
      <c r="E153" s="62"/>
      <c r="F153" s="62"/>
    </row>
    <row r="154" spans="2:9">
      <c r="B154" s="59"/>
      <c r="C154" s="60"/>
      <c r="D154" s="61"/>
      <c r="E154" s="62"/>
      <c r="F154" s="62"/>
    </row>
    <row r="155" spans="2:9">
      <c r="B155" s="59"/>
      <c r="C155" s="60"/>
      <c r="D155" s="61"/>
      <c r="E155" s="62"/>
      <c r="F155" s="62"/>
    </row>
    <row r="156" spans="2:9">
      <c r="B156" s="59"/>
      <c r="C156" s="60"/>
      <c r="D156" s="61"/>
      <c r="E156" s="62"/>
      <c r="F156" s="62"/>
    </row>
    <row r="157" spans="2:9">
      <c r="B157" s="59"/>
      <c r="C157" s="60"/>
      <c r="D157" s="61"/>
      <c r="E157" s="62"/>
      <c r="F157" s="62"/>
    </row>
    <row r="158" spans="2:9">
      <c r="B158" s="59"/>
      <c r="C158" s="60"/>
      <c r="D158" s="61"/>
      <c r="E158" s="62"/>
      <c r="F158" s="62"/>
    </row>
    <row r="159" spans="2:9">
      <c r="B159" s="59"/>
      <c r="C159" s="60"/>
      <c r="D159" s="61"/>
      <c r="E159" s="62"/>
      <c r="F159" s="62"/>
    </row>
    <row r="160" spans="2:9">
      <c r="B160" s="59"/>
      <c r="C160" s="60"/>
      <c r="D160" s="61"/>
      <c r="E160" s="62"/>
      <c r="F160" s="62"/>
    </row>
    <row r="161" spans="2:6">
      <c r="B161" s="59"/>
      <c r="C161" s="60"/>
      <c r="D161" s="61"/>
      <c r="E161" s="62"/>
      <c r="F161" s="62"/>
    </row>
    <row r="162" spans="2:6">
      <c r="B162" s="59"/>
      <c r="C162" s="60"/>
      <c r="D162" s="61"/>
      <c r="E162" s="62"/>
      <c r="F162" s="62"/>
    </row>
    <row r="163" spans="2:6">
      <c r="B163" s="59"/>
      <c r="C163" s="60"/>
      <c r="D163" s="61"/>
      <c r="E163" s="62"/>
      <c r="F163" s="62"/>
    </row>
    <row r="164" spans="2:6">
      <c r="B164" s="59"/>
      <c r="C164" s="60"/>
      <c r="D164" s="61"/>
      <c r="E164" s="62"/>
      <c r="F164" s="62"/>
    </row>
    <row r="165" spans="2:6">
      <c r="B165" s="59"/>
      <c r="C165" s="60"/>
      <c r="D165" s="61"/>
      <c r="E165" s="62"/>
      <c r="F165" s="62"/>
    </row>
    <row r="166" spans="2:6">
      <c r="B166" s="59"/>
      <c r="C166" s="60"/>
      <c r="D166" s="61"/>
      <c r="E166" s="62"/>
      <c r="F166" s="62"/>
    </row>
    <row r="167" spans="2:6">
      <c r="B167" s="59"/>
      <c r="C167" s="60"/>
      <c r="D167" s="61"/>
      <c r="E167" s="62"/>
      <c r="F167" s="62"/>
    </row>
    <row r="168" spans="2:6">
      <c r="B168" s="59"/>
      <c r="C168" s="60"/>
      <c r="D168" s="61"/>
      <c r="E168" s="62"/>
      <c r="F168" s="62"/>
    </row>
    <row r="169" spans="2:6">
      <c r="B169" s="59"/>
      <c r="C169" s="60"/>
      <c r="D169" s="61"/>
      <c r="E169" s="62"/>
      <c r="F169" s="62"/>
    </row>
    <row r="170" spans="2:6">
      <c r="B170" s="59"/>
      <c r="C170" s="60"/>
      <c r="D170" s="61"/>
      <c r="E170" s="62"/>
      <c r="F170" s="62"/>
    </row>
    <row r="171" spans="2:6">
      <c r="B171" s="59"/>
      <c r="C171" s="60"/>
      <c r="D171" s="61"/>
      <c r="E171" s="62"/>
      <c r="F171" s="62"/>
    </row>
    <row r="172" spans="2:6">
      <c r="B172" s="59"/>
      <c r="C172" s="60"/>
      <c r="D172" s="61"/>
      <c r="E172" s="62"/>
      <c r="F172" s="62"/>
    </row>
    <row r="173" spans="2:6">
      <c r="B173" s="59"/>
      <c r="C173" s="60"/>
      <c r="D173" s="61"/>
      <c r="E173" s="62"/>
      <c r="F173" s="62"/>
    </row>
    <row r="174" spans="2:6">
      <c r="B174" s="59"/>
      <c r="C174" s="60"/>
      <c r="D174" s="61"/>
      <c r="E174" s="62"/>
      <c r="F174" s="62"/>
    </row>
    <row r="175" spans="2:6">
      <c r="B175" s="59"/>
      <c r="C175" s="60"/>
      <c r="D175" s="61"/>
      <c r="E175" s="62"/>
      <c r="F175" s="62"/>
    </row>
    <row r="176" spans="2:6">
      <c r="B176" s="59"/>
      <c r="C176" s="60"/>
      <c r="D176" s="61"/>
      <c r="E176" s="62"/>
      <c r="F176" s="62"/>
    </row>
    <row r="177" spans="2:6">
      <c r="B177" s="59"/>
      <c r="C177" s="60"/>
      <c r="D177" s="61"/>
      <c r="E177" s="62"/>
      <c r="F177" s="62"/>
    </row>
    <row r="178" spans="2:6">
      <c r="B178" s="59"/>
      <c r="C178" s="60"/>
      <c r="D178" s="61"/>
      <c r="E178" s="62"/>
      <c r="F178" s="62"/>
    </row>
    <row r="179" spans="2:6">
      <c r="B179" s="59"/>
      <c r="D179" s="70"/>
      <c r="E179" s="71"/>
      <c r="F179" s="71"/>
    </row>
    <row r="180" spans="2:6">
      <c r="B180" s="72"/>
      <c r="D180" s="70"/>
      <c r="E180" s="71"/>
      <c r="F180" s="71"/>
    </row>
    <row r="181" spans="2:6">
      <c r="B181" s="72"/>
      <c r="D181" s="70"/>
      <c r="E181" s="71"/>
      <c r="F181" s="71"/>
    </row>
    <row r="182" spans="2:6">
      <c r="B182" s="72"/>
      <c r="D182" s="70"/>
      <c r="E182" s="71"/>
      <c r="F182" s="71"/>
    </row>
    <row r="183" spans="2:6">
      <c r="B183" s="72"/>
      <c r="D183" s="70"/>
      <c r="E183" s="71"/>
      <c r="F183" s="71"/>
    </row>
    <row r="184" spans="2:6">
      <c r="B184" s="72"/>
      <c r="D184" s="70"/>
      <c r="E184" s="71"/>
      <c r="F184" s="71"/>
    </row>
    <row r="185" spans="2:6">
      <c r="B185" s="72"/>
      <c r="D185" s="70"/>
      <c r="E185" s="71"/>
      <c r="F185" s="71"/>
    </row>
    <row r="186" spans="2:6">
      <c r="B186" s="72"/>
      <c r="D186" s="70"/>
      <c r="E186" s="71"/>
      <c r="F186" s="71"/>
    </row>
    <row r="187" spans="2:6">
      <c r="B187" s="72"/>
      <c r="D187" s="70"/>
      <c r="E187" s="71"/>
      <c r="F187" s="71"/>
    </row>
    <row r="188" spans="2:6">
      <c r="B188" s="72"/>
      <c r="D188" s="70"/>
      <c r="E188" s="71"/>
      <c r="F188" s="71"/>
    </row>
    <row r="189" spans="2:6">
      <c r="B189" s="72"/>
      <c r="D189" s="70"/>
      <c r="E189" s="71"/>
      <c r="F189" s="71"/>
    </row>
    <row r="190" spans="2:6">
      <c r="B190" s="72"/>
      <c r="D190" s="70"/>
      <c r="E190" s="71"/>
      <c r="F190" s="71"/>
    </row>
    <row r="191" spans="2:6">
      <c r="B191" s="72"/>
      <c r="D191" s="70"/>
      <c r="E191" s="71"/>
      <c r="F191" s="71"/>
    </row>
    <row r="192" spans="2:6">
      <c r="B192" s="72"/>
      <c r="D192" s="70"/>
      <c r="E192" s="71"/>
      <c r="F192" s="71"/>
    </row>
    <row r="193" spans="2:6">
      <c r="B193" s="72"/>
      <c r="D193" s="70"/>
      <c r="E193" s="71"/>
      <c r="F193" s="71"/>
    </row>
    <row r="194" spans="2:6">
      <c r="B194" s="72"/>
      <c r="D194" s="70"/>
      <c r="E194" s="71"/>
      <c r="F194" s="71"/>
    </row>
    <row r="195" spans="2:6">
      <c r="B195" s="72"/>
      <c r="D195" s="70"/>
      <c r="E195" s="71"/>
      <c r="F195" s="71"/>
    </row>
    <row r="196" spans="2:6">
      <c r="B196" s="72"/>
      <c r="D196" s="70"/>
      <c r="E196" s="71"/>
      <c r="F196" s="71"/>
    </row>
    <row r="197" spans="2:6">
      <c r="B197" s="72"/>
      <c r="D197" s="70"/>
      <c r="E197" s="71"/>
      <c r="F197" s="71"/>
    </row>
    <row r="198" spans="2:6">
      <c r="B198" s="72"/>
      <c r="D198" s="70"/>
      <c r="E198" s="71"/>
      <c r="F198" s="71"/>
    </row>
    <row r="199" spans="2:6">
      <c r="B199" s="72"/>
      <c r="D199" s="70"/>
      <c r="E199" s="71"/>
      <c r="F199" s="71"/>
    </row>
    <row r="200" spans="2:6">
      <c r="B200" s="72"/>
      <c r="D200" s="70"/>
      <c r="E200" s="71"/>
      <c r="F200" s="71"/>
    </row>
    <row r="201" spans="2:6">
      <c r="B201" s="72"/>
      <c r="D201" s="70"/>
      <c r="E201" s="71"/>
      <c r="F201" s="71"/>
    </row>
    <row r="202" spans="2:6">
      <c r="B202" s="72"/>
    </row>
    <row r="203" spans="2:6">
      <c r="B203" s="73"/>
    </row>
    <row r="204" spans="2:6">
      <c r="B204" s="73"/>
    </row>
    <row r="205" spans="2:6">
      <c r="B205" s="73"/>
    </row>
    <row r="206" spans="2:6">
      <c r="B206" s="73"/>
    </row>
    <row r="207" spans="2:6">
      <c r="B207" s="73"/>
    </row>
    <row r="208" spans="2:6">
      <c r="B208" s="73"/>
    </row>
    <row r="209" spans="2:2">
      <c r="B209" s="73"/>
    </row>
    <row r="210" spans="2:2">
      <c r="B210" s="73"/>
    </row>
    <row r="211" spans="2:2">
      <c r="B211" s="73"/>
    </row>
    <row r="212" spans="2:2">
      <c r="B212" s="73"/>
    </row>
    <row r="213" spans="2:2">
      <c r="B213" s="73"/>
    </row>
    <row r="214" spans="2:2">
      <c r="B214" s="73"/>
    </row>
    <row r="215" spans="2:2">
      <c r="B215" s="73"/>
    </row>
    <row r="216" spans="2:2">
      <c r="B216" s="73"/>
    </row>
    <row r="217" spans="2:2">
      <c r="B217" s="73"/>
    </row>
    <row r="218" spans="2:2">
      <c r="B218" s="73"/>
    </row>
    <row r="219" spans="2:2">
      <c r="B219" s="73"/>
    </row>
    <row r="220" spans="2:2">
      <c r="B220" s="73"/>
    </row>
    <row r="221" spans="2:2">
      <c r="B221" s="73"/>
    </row>
    <row r="222" spans="2:2">
      <c r="B222" s="73"/>
    </row>
    <row r="223" spans="2:2">
      <c r="B223" s="73"/>
    </row>
    <row r="224" spans="2:2">
      <c r="B224" s="73"/>
    </row>
    <row r="225" spans="2:2">
      <c r="B225" s="73"/>
    </row>
    <row r="226" spans="2:2">
      <c r="B226" s="73"/>
    </row>
    <row r="227" spans="2:2">
      <c r="B227" s="73"/>
    </row>
    <row r="228" spans="2:2">
      <c r="B228" s="73"/>
    </row>
    <row r="229" spans="2:2">
      <c r="B229" s="73"/>
    </row>
    <row r="230" spans="2:2">
      <c r="B230" s="73"/>
    </row>
    <row r="231" spans="2:2">
      <c r="B231" s="73"/>
    </row>
    <row r="232" spans="2:2">
      <c r="B232" s="73"/>
    </row>
    <row r="233" spans="2:2">
      <c r="B233" s="73"/>
    </row>
    <row r="234" spans="2:2">
      <c r="B234" s="73"/>
    </row>
    <row r="235" spans="2:2">
      <c r="B235" s="73"/>
    </row>
    <row r="236" spans="2:2">
      <c r="B236" s="73"/>
    </row>
    <row r="237" spans="2:2">
      <c r="B237" s="73"/>
    </row>
    <row r="238" spans="2:2">
      <c r="B238" s="73"/>
    </row>
    <row r="239" spans="2:2">
      <c r="B239" s="73"/>
    </row>
    <row r="240" spans="2:2">
      <c r="B240" s="73"/>
    </row>
    <row r="241" spans="2:2">
      <c r="B241" s="73"/>
    </row>
    <row r="242" spans="2:2">
      <c r="B242" s="73"/>
    </row>
    <row r="243" spans="2:2">
      <c r="B243" s="73"/>
    </row>
    <row r="244" spans="2:2">
      <c r="B244" s="73"/>
    </row>
    <row r="245" spans="2:2">
      <c r="B245" s="73"/>
    </row>
    <row r="246" spans="2:2">
      <c r="B246" s="73"/>
    </row>
    <row r="247" spans="2:2">
      <c r="B247" s="73"/>
    </row>
    <row r="248" spans="2:2">
      <c r="B248" s="73"/>
    </row>
    <row r="249" spans="2:2">
      <c r="B249" s="73"/>
    </row>
    <row r="250" spans="2:2">
      <c r="B250" s="73"/>
    </row>
    <row r="251" spans="2:2">
      <c r="B251" s="73"/>
    </row>
    <row r="252" spans="2:2">
      <c r="B252" s="73"/>
    </row>
    <row r="253" spans="2:2">
      <c r="B253" s="73"/>
    </row>
    <row r="254" spans="2:2">
      <c r="B254" s="73"/>
    </row>
    <row r="255" spans="2:2">
      <c r="B255" s="73"/>
    </row>
    <row r="256" spans="2:2">
      <c r="B256" s="73"/>
    </row>
    <row r="257" spans="2:2">
      <c r="B257" s="73"/>
    </row>
    <row r="258" spans="2:2">
      <c r="B258" s="73"/>
    </row>
    <row r="259" spans="2:2">
      <c r="B259" s="73"/>
    </row>
    <row r="260" spans="2:2">
      <c r="B260" s="73"/>
    </row>
    <row r="261" spans="2:2">
      <c r="B261" s="73"/>
    </row>
    <row r="262" spans="2:2">
      <c r="B262" s="73"/>
    </row>
    <row r="263" spans="2:2">
      <c r="B263" s="73"/>
    </row>
    <row r="264" spans="2:2">
      <c r="B264" s="73"/>
    </row>
    <row r="265" spans="2:2">
      <c r="B265" s="73"/>
    </row>
    <row r="266" spans="2:2">
      <c r="B266" s="73"/>
    </row>
    <row r="267" spans="2:2">
      <c r="B267" s="73"/>
    </row>
    <row r="268" spans="2:2">
      <c r="B268" s="73"/>
    </row>
    <row r="269" spans="2:2">
      <c r="B269" s="73"/>
    </row>
    <row r="270" spans="2:2">
      <c r="B270" s="73"/>
    </row>
    <row r="271" spans="2:2">
      <c r="B271" s="73"/>
    </row>
    <row r="272" spans="2:2">
      <c r="B272" s="73"/>
    </row>
    <row r="273" spans="2:2">
      <c r="B273" s="73"/>
    </row>
    <row r="274" spans="2:2">
      <c r="B274" s="73"/>
    </row>
    <row r="275" spans="2:2">
      <c r="B275" s="73"/>
    </row>
    <row r="276" spans="2:2">
      <c r="B276" s="73"/>
    </row>
    <row r="277" spans="2:2">
      <c r="B277" s="73"/>
    </row>
    <row r="278" spans="2:2">
      <c r="B278" s="73"/>
    </row>
    <row r="279" spans="2:2">
      <c r="B279" s="73"/>
    </row>
    <row r="280" spans="2:2">
      <c r="B280" s="73"/>
    </row>
    <row r="281" spans="2:2">
      <c r="B281" s="73"/>
    </row>
    <row r="282" spans="2:2">
      <c r="B282" s="73"/>
    </row>
    <row r="283" spans="2:2">
      <c r="B283" s="73"/>
    </row>
    <row r="284" spans="2:2">
      <c r="B284" s="73"/>
    </row>
    <row r="285" spans="2:2">
      <c r="B285" s="73"/>
    </row>
    <row r="286" spans="2:2">
      <c r="B286" s="73"/>
    </row>
    <row r="287" spans="2:2">
      <c r="B287" s="73"/>
    </row>
    <row r="288" spans="2:2">
      <c r="B288" s="73"/>
    </row>
    <row r="289" spans="2:2">
      <c r="B289" s="73"/>
    </row>
    <row r="290" spans="2:2">
      <c r="B290" s="73"/>
    </row>
    <row r="291" spans="2:2">
      <c r="B291" s="73"/>
    </row>
    <row r="292" spans="2:2">
      <c r="B292" s="73"/>
    </row>
    <row r="293" spans="2:2">
      <c r="B293" s="73"/>
    </row>
    <row r="294" spans="2:2">
      <c r="B294" s="73"/>
    </row>
    <row r="295" spans="2:2">
      <c r="B295" s="73"/>
    </row>
    <row r="296" spans="2:2">
      <c r="B296" s="73"/>
    </row>
    <row r="297" spans="2:2">
      <c r="B297" s="73"/>
    </row>
    <row r="298" spans="2:2">
      <c r="B298" s="73"/>
    </row>
    <row r="299" spans="2:2">
      <c r="B299" s="73"/>
    </row>
    <row r="300" spans="2:2">
      <c r="B300" s="73"/>
    </row>
    <row r="301" spans="2:2">
      <c r="B301" s="73"/>
    </row>
    <row r="302" spans="2:2">
      <c r="B302" s="73"/>
    </row>
    <row r="303" spans="2:2">
      <c r="B303" s="73"/>
    </row>
    <row r="304" spans="2:2">
      <c r="B304" s="73"/>
    </row>
    <row r="305" spans="2:2">
      <c r="B305" s="73"/>
    </row>
    <row r="306" spans="2:2">
      <c r="B306" s="73"/>
    </row>
    <row r="307" spans="2:2">
      <c r="B307" s="73"/>
    </row>
    <row r="308" spans="2:2">
      <c r="B308" s="73"/>
    </row>
    <row r="309" spans="2:2">
      <c r="B309" s="73"/>
    </row>
    <row r="310" spans="2:2">
      <c r="B310" s="73"/>
    </row>
    <row r="311" spans="2:2">
      <c r="B311" s="73"/>
    </row>
    <row r="312" spans="2:2">
      <c r="B312" s="73"/>
    </row>
    <row r="313" spans="2:2">
      <c r="B313" s="73"/>
    </row>
    <row r="314" spans="2:2">
      <c r="B314" s="73"/>
    </row>
    <row r="315" spans="2:2">
      <c r="B315" s="73"/>
    </row>
    <row r="316" spans="2:2">
      <c r="B316" s="73"/>
    </row>
    <row r="317" spans="2:2">
      <c r="B317" s="73"/>
    </row>
    <row r="318" spans="2:2">
      <c r="B318" s="73"/>
    </row>
    <row r="319" spans="2:2">
      <c r="B319" s="73"/>
    </row>
    <row r="320" spans="2:2">
      <c r="B320" s="73"/>
    </row>
    <row r="321" spans="2:2">
      <c r="B321" s="73"/>
    </row>
    <row r="322" spans="2:2">
      <c r="B322" s="73"/>
    </row>
    <row r="323" spans="2:2">
      <c r="B323" s="73"/>
    </row>
    <row r="324" spans="2:2">
      <c r="B324" s="73"/>
    </row>
    <row r="325" spans="2:2">
      <c r="B325" s="73"/>
    </row>
    <row r="326" spans="2:2">
      <c r="B326" s="73"/>
    </row>
    <row r="327" spans="2:2">
      <c r="B327" s="73"/>
    </row>
    <row r="328" spans="2:2">
      <c r="B328" s="73"/>
    </row>
    <row r="329" spans="2:2">
      <c r="B329" s="73"/>
    </row>
    <row r="330" spans="2:2">
      <c r="B330" s="73"/>
    </row>
    <row r="331" spans="2:2">
      <c r="B331" s="73"/>
    </row>
    <row r="332" spans="2:2">
      <c r="B332" s="73"/>
    </row>
    <row r="333" spans="2:2">
      <c r="B333" s="73"/>
    </row>
    <row r="334" spans="2:2">
      <c r="B334" s="73"/>
    </row>
    <row r="335" spans="2:2">
      <c r="B335" s="73"/>
    </row>
    <row r="336" spans="2:2">
      <c r="B336" s="73"/>
    </row>
    <row r="337" spans="2:2">
      <c r="B337" s="73"/>
    </row>
    <row r="338" spans="2:2">
      <c r="B338" s="73"/>
    </row>
    <row r="339" spans="2:2">
      <c r="B339" s="73"/>
    </row>
    <row r="340" spans="2:2">
      <c r="B340" s="73"/>
    </row>
    <row r="341" spans="2:2">
      <c r="B341" s="73"/>
    </row>
    <row r="342" spans="2:2">
      <c r="B342" s="73"/>
    </row>
    <row r="343" spans="2:2">
      <c r="B343" s="73"/>
    </row>
    <row r="344" spans="2:2">
      <c r="B344" s="73"/>
    </row>
    <row r="345" spans="2:2">
      <c r="B345" s="73"/>
    </row>
    <row r="346" spans="2:2">
      <c r="B346" s="73"/>
    </row>
    <row r="347" spans="2:2">
      <c r="B347" s="73"/>
    </row>
    <row r="348" spans="2:2">
      <c r="B348" s="73"/>
    </row>
    <row r="349" spans="2:2">
      <c r="B349" s="73"/>
    </row>
    <row r="350" spans="2:2">
      <c r="B350" s="73"/>
    </row>
    <row r="351" spans="2:2">
      <c r="B351" s="73"/>
    </row>
    <row r="352" spans="2:2">
      <c r="B352" s="73"/>
    </row>
    <row r="353" spans="2:2">
      <c r="B353" s="73"/>
    </row>
    <row r="354" spans="2:2">
      <c r="B354" s="73"/>
    </row>
    <row r="355" spans="2:2">
      <c r="B355" s="73"/>
    </row>
    <row r="356" spans="2:2">
      <c r="B356" s="73"/>
    </row>
    <row r="357" spans="2:2">
      <c r="B357" s="73"/>
    </row>
    <row r="358" spans="2:2">
      <c r="B358" s="73"/>
    </row>
    <row r="359" spans="2:2">
      <c r="B359" s="73"/>
    </row>
    <row r="360" spans="2:2">
      <c r="B360" s="73"/>
    </row>
    <row r="361" spans="2:2">
      <c r="B361" s="73"/>
    </row>
    <row r="362" spans="2:2">
      <c r="B362" s="73"/>
    </row>
    <row r="363" spans="2:2">
      <c r="B363" s="73"/>
    </row>
    <row r="364" spans="2:2">
      <c r="B364" s="73"/>
    </row>
    <row r="365" spans="2:2">
      <c r="B365" s="73"/>
    </row>
    <row r="366" spans="2:2">
      <c r="B366" s="73"/>
    </row>
    <row r="367" spans="2:2">
      <c r="B367" s="73"/>
    </row>
    <row r="368" spans="2:2">
      <c r="B368" s="73"/>
    </row>
    <row r="369" spans="2:2">
      <c r="B369" s="73"/>
    </row>
  </sheetData>
  <mergeCells count="20">
    <mergeCell ref="B2:F2"/>
    <mergeCell ref="D146:E146"/>
    <mergeCell ref="D147:E147"/>
    <mergeCell ref="A29:B29"/>
    <mergeCell ref="A30:B30"/>
    <mergeCell ref="A31:B31"/>
    <mergeCell ref="A48:B48"/>
    <mergeCell ref="A83:B83"/>
    <mergeCell ref="A84:B84"/>
    <mergeCell ref="A6:B6"/>
    <mergeCell ref="A7:B7"/>
    <mergeCell ref="A12:B12"/>
    <mergeCell ref="A26:B26"/>
    <mergeCell ref="A24:B24"/>
    <mergeCell ref="A92:B92"/>
    <mergeCell ref="G147:H147"/>
    <mergeCell ref="A127:B127"/>
    <mergeCell ref="A113:B113"/>
    <mergeCell ref="A114:B114"/>
    <mergeCell ref="G146:I146"/>
  </mergeCells>
  <pageMargins left="0.23622047244094491" right="0.15748031496062992" top="0.19685039370078741" bottom="0.2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M602"/>
  <sheetViews>
    <sheetView view="pageBreakPreview" topLeftCell="A250" zoomScale="60" zoomScaleNormal="70" workbookViewId="0">
      <selection activeCell="C392" sqref="C392"/>
    </sheetView>
  </sheetViews>
  <sheetFormatPr defaultRowHeight="18.75"/>
  <cols>
    <col min="1" max="1" width="9.140625" style="67"/>
    <col min="2" max="2" width="106.140625" style="67" customWidth="1"/>
    <col min="3" max="3" width="14.140625" style="219" customWidth="1"/>
    <col min="4" max="4" width="16.140625" style="219" customWidth="1"/>
    <col min="5" max="5" width="16.7109375" style="219" customWidth="1"/>
    <col min="6" max="6" width="16.140625" style="219" customWidth="1"/>
    <col min="7" max="7" width="16.140625" style="67" customWidth="1"/>
    <col min="8" max="8" width="16.42578125" style="67" customWidth="1"/>
    <col min="9" max="9" width="9.140625" style="67"/>
    <col min="10" max="10" width="9.140625" style="67" customWidth="1"/>
    <col min="11" max="11" width="27" style="67" customWidth="1"/>
    <col min="12" max="12" width="16.7109375" style="67" customWidth="1"/>
    <col min="13" max="13" width="15.5703125" style="67" customWidth="1"/>
    <col min="14" max="16384" width="9.140625" style="67"/>
  </cols>
  <sheetData>
    <row r="2" spans="1:13" ht="22.5" customHeight="1">
      <c r="B2" s="371" t="s">
        <v>197</v>
      </c>
      <c r="C2" s="371"/>
      <c r="D2" s="371"/>
      <c r="E2" s="371"/>
      <c r="F2" s="371"/>
      <c r="G2" s="371"/>
      <c r="H2" s="371"/>
    </row>
    <row r="3" spans="1:13" ht="19.5">
      <c r="B3" s="231"/>
      <c r="C3" s="232"/>
      <c r="D3" s="231"/>
      <c r="E3" s="231"/>
      <c r="F3" s="231"/>
      <c r="H3" s="67" t="s">
        <v>110</v>
      </c>
      <c r="J3" s="206"/>
      <c r="K3" s="207"/>
      <c r="L3" s="208"/>
      <c r="M3" s="208"/>
    </row>
    <row r="4" spans="1:13" ht="98.25" customHeight="1">
      <c r="A4" s="233" t="s">
        <v>129</v>
      </c>
      <c r="B4" s="233" t="s">
        <v>34</v>
      </c>
      <c r="C4" s="234" t="s">
        <v>5</v>
      </c>
      <c r="D4" s="48" t="s">
        <v>635</v>
      </c>
      <c r="E4" s="48" t="s">
        <v>636</v>
      </c>
      <c r="F4" s="48" t="s">
        <v>637</v>
      </c>
      <c r="G4" s="139" t="s">
        <v>184</v>
      </c>
      <c r="H4" s="139" t="s">
        <v>187</v>
      </c>
      <c r="J4" s="209"/>
      <c r="K4" s="221"/>
      <c r="L4" s="220"/>
      <c r="M4" s="222"/>
    </row>
    <row r="5" spans="1:13" ht="30.75" customHeight="1">
      <c r="A5" s="162">
        <v>1</v>
      </c>
      <c r="B5" s="163">
        <v>2</v>
      </c>
      <c r="C5" s="139">
        <v>3</v>
      </c>
      <c r="D5" s="139">
        <v>4</v>
      </c>
      <c r="E5" s="139">
        <v>5</v>
      </c>
      <c r="F5" s="139">
        <v>6</v>
      </c>
      <c r="G5" s="163">
        <v>7</v>
      </c>
      <c r="H5" s="163">
        <v>8</v>
      </c>
      <c r="J5" s="209"/>
      <c r="K5" s="210"/>
      <c r="L5" s="210"/>
      <c r="M5" s="210"/>
    </row>
    <row r="6" spans="1:13" ht="30.75" customHeight="1">
      <c r="A6" s="372" t="s">
        <v>139</v>
      </c>
      <c r="B6" s="373"/>
      <c r="C6" s="139"/>
      <c r="D6" s="258">
        <f>D7+D35+D85+D132+D138+D180+D185+D190+D239+D273+D279+D294+D330+D335+D361+D366+D371+D303</f>
        <v>60673.9</v>
      </c>
      <c r="E6" s="258">
        <f>E7+E35+E85+E132+E138+E180+E185+E190+E239+E273+E279+E294+E330+E335+E361+E366+E371+E303</f>
        <v>61899</v>
      </c>
      <c r="F6" s="258">
        <f>F7+F35+F85+F132+F138+F180+F185+F190+F239+F273+F279+F294+F330+F335+F361+F366+F371+F303</f>
        <v>72937.799999999988</v>
      </c>
      <c r="G6" s="261">
        <f>F6-E6</f>
        <v>11038.799999999988</v>
      </c>
      <c r="H6" s="261">
        <f>F6/E6*100</f>
        <v>117.83356758590607</v>
      </c>
      <c r="J6" s="209"/>
      <c r="K6" s="86"/>
      <c r="L6" s="86"/>
      <c r="M6" s="86"/>
    </row>
    <row r="7" spans="1:13" ht="46.5" customHeight="1">
      <c r="A7" s="120" t="s">
        <v>140</v>
      </c>
      <c r="B7" s="119" t="s">
        <v>198</v>
      </c>
      <c r="C7" s="120"/>
      <c r="D7" s="55">
        <f>D9+D24+D30</f>
        <v>0</v>
      </c>
      <c r="E7" s="55">
        <f>E9+E24+E30</f>
        <v>37597.5</v>
      </c>
      <c r="F7" s="55">
        <f>F9+F24+F30</f>
        <v>42676.6</v>
      </c>
      <c r="G7" s="261">
        <f>F7-E7</f>
        <v>5079.0999999999985</v>
      </c>
      <c r="H7" s="261">
        <f>(F7/E7)*100</f>
        <v>113.50914289513929</v>
      </c>
      <c r="J7" s="209"/>
      <c r="K7" s="86"/>
      <c r="L7" s="86"/>
      <c r="M7" s="86"/>
    </row>
    <row r="8" spans="1:13" ht="24.75" customHeight="1">
      <c r="A8" s="163"/>
      <c r="B8" s="140" t="s">
        <v>141</v>
      </c>
      <c r="C8" s="139"/>
      <c r="D8" s="56"/>
      <c r="E8" s="56"/>
      <c r="F8" s="56"/>
      <c r="G8" s="261"/>
      <c r="H8" s="261"/>
      <c r="J8" s="209"/>
      <c r="K8" s="86"/>
      <c r="L8" s="86"/>
      <c r="M8" s="86"/>
    </row>
    <row r="9" spans="1:13" ht="37.5" customHeight="1">
      <c r="A9" s="135" t="s">
        <v>142</v>
      </c>
      <c r="B9" s="235" t="s">
        <v>145</v>
      </c>
      <c r="C9" s="228">
        <v>1010</v>
      </c>
      <c r="D9" s="159">
        <f>D10+D15+D16+D17+D18</f>
        <v>0</v>
      </c>
      <c r="E9" s="159">
        <f>E10+E15+E16+E17+E18</f>
        <v>28909.1</v>
      </c>
      <c r="F9" s="159">
        <f>F10+F15+F16+F17+F18</f>
        <v>38337.199999999997</v>
      </c>
      <c r="G9" s="263">
        <f t="shared" ref="G9:G183" si="0">F9-E9</f>
        <v>9428.0999999999985</v>
      </c>
      <c r="H9" s="263">
        <f t="shared" ref="H9:H179" si="1">(F9/E9)*100</f>
        <v>132.61291427266846</v>
      </c>
      <c r="J9" s="209"/>
      <c r="K9" s="86"/>
      <c r="L9" s="86"/>
      <c r="M9" s="86"/>
    </row>
    <row r="10" spans="1:13" ht="30" customHeight="1">
      <c r="A10" s="96" t="s">
        <v>211</v>
      </c>
      <c r="B10" s="97" t="s">
        <v>176</v>
      </c>
      <c r="C10" s="98">
        <v>1011</v>
      </c>
      <c r="D10" s="82">
        <f t="shared" ref="D10:E10" si="2">SUM(D11:D14)</f>
        <v>0</v>
      </c>
      <c r="E10" s="82">
        <f t="shared" si="2"/>
        <v>0</v>
      </c>
      <c r="F10" s="55">
        <f>SUM(F11:F14)</f>
        <v>2945.7999999999997</v>
      </c>
      <c r="G10" s="261">
        <f t="shared" si="0"/>
        <v>2945.7999999999997</v>
      </c>
      <c r="H10" s="263"/>
      <c r="J10" s="209"/>
      <c r="K10" s="86"/>
      <c r="L10" s="86"/>
      <c r="M10" s="86"/>
    </row>
    <row r="11" spans="1:13" ht="27.75" customHeight="1">
      <c r="A11" s="99"/>
      <c r="B11" s="100" t="s">
        <v>212</v>
      </c>
      <c r="C11" s="101"/>
      <c r="D11" s="82"/>
      <c r="E11" s="82"/>
      <c r="F11" s="56">
        <v>2834</v>
      </c>
      <c r="G11" s="262">
        <f t="shared" si="0"/>
        <v>2834</v>
      </c>
      <c r="H11" s="263"/>
      <c r="J11" s="209"/>
      <c r="K11" s="86"/>
      <c r="L11" s="86"/>
      <c r="M11" s="86"/>
    </row>
    <row r="12" spans="1:13" ht="26.25" customHeight="1">
      <c r="A12" s="99"/>
      <c r="B12" s="100" t="s">
        <v>213</v>
      </c>
      <c r="C12" s="101"/>
      <c r="D12" s="82"/>
      <c r="E12" s="82"/>
      <c r="F12" s="56">
        <v>92.6</v>
      </c>
      <c r="G12" s="262">
        <f t="shared" si="0"/>
        <v>92.6</v>
      </c>
      <c r="H12" s="263"/>
      <c r="J12" s="209"/>
      <c r="K12" s="210"/>
      <c r="L12" s="210"/>
      <c r="M12" s="210"/>
    </row>
    <row r="13" spans="1:13" ht="31.5" customHeight="1">
      <c r="A13" s="99"/>
      <c r="B13" s="100" t="s">
        <v>214</v>
      </c>
      <c r="C13" s="101"/>
      <c r="D13" s="82"/>
      <c r="E13" s="82"/>
      <c r="F13" s="56">
        <v>0.7</v>
      </c>
      <c r="G13" s="262">
        <f t="shared" si="0"/>
        <v>0.7</v>
      </c>
      <c r="H13" s="263"/>
      <c r="J13" s="209"/>
      <c r="K13" s="86"/>
      <c r="L13" s="86"/>
      <c r="M13" s="86"/>
    </row>
    <row r="14" spans="1:13" ht="32.25" customHeight="1">
      <c r="A14" s="99"/>
      <c r="B14" s="100" t="s">
        <v>215</v>
      </c>
      <c r="C14" s="101"/>
      <c r="D14" s="82"/>
      <c r="E14" s="82"/>
      <c r="F14" s="56">
        <v>18.5</v>
      </c>
      <c r="G14" s="262">
        <f t="shared" si="0"/>
        <v>18.5</v>
      </c>
      <c r="H14" s="263"/>
      <c r="J14" s="209"/>
      <c r="K14" s="86"/>
      <c r="L14" s="86"/>
      <c r="M14" s="86"/>
    </row>
    <row r="15" spans="1:13" ht="30" customHeight="1">
      <c r="A15" s="96" t="s">
        <v>217</v>
      </c>
      <c r="B15" s="97" t="s">
        <v>2</v>
      </c>
      <c r="C15" s="102">
        <v>1012</v>
      </c>
      <c r="D15" s="82"/>
      <c r="E15" s="55">
        <v>21630.6</v>
      </c>
      <c r="F15" s="55">
        <v>28745</v>
      </c>
      <c r="G15" s="261">
        <f t="shared" si="0"/>
        <v>7114.4000000000015</v>
      </c>
      <c r="H15" s="261">
        <f t="shared" si="1"/>
        <v>132.89044224385825</v>
      </c>
      <c r="J15" s="209"/>
      <c r="K15" s="86"/>
      <c r="L15" s="86"/>
      <c r="M15" s="86"/>
    </row>
    <row r="16" spans="1:13" ht="31.5" customHeight="1">
      <c r="A16" s="96" t="s">
        <v>218</v>
      </c>
      <c r="B16" s="97" t="s">
        <v>3</v>
      </c>
      <c r="C16" s="102">
        <v>1013</v>
      </c>
      <c r="D16" s="82"/>
      <c r="E16" s="55">
        <v>4702.8</v>
      </c>
      <c r="F16" s="55">
        <v>6239.1</v>
      </c>
      <c r="G16" s="261">
        <f t="shared" si="0"/>
        <v>1536.3000000000002</v>
      </c>
      <c r="H16" s="261">
        <f t="shared" si="1"/>
        <v>132.66777239091604</v>
      </c>
      <c r="J16" s="209"/>
      <c r="K16" s="86"/>
      <c r="L16" s="86"/>
      <c r="M16" s="86"/>
    </row>
    <row r="17" spans="1:13" ht="26.25" customHeight="1">
      <c r="A17" s="96" t="s">
        <v>219</v>
      </c>
      <c r="B17" s="97" t="s">
        <v>4</v>
      </c>
      <c r="C17" s="102">
        <v>1014</v>
      </c>
      <c r="D17" s="82"/>
      <c r="E17" s="55"/>
      <c r="F17" s="55">
        <v>4.2</v>
      </c>
      <c r="G17" s="261">
        <f t="shared" si="0"/>
        <v>4.2</v>
      </c>
      <c r="H17" s="261"/>
      <c r="J17" s="209"/>
      <c r="K17" s="86"/>
      <c r="L17" s="86"/>
      <c r="M17" s="86"/>
    </row>
    <row r="18" spans="1:13" ht="30" customHeight="1">
      <c r="A18" s="96" t="s">
        <v>220</v>
      </c>
      <c r="B18" s="97" t="s">
        <v>58</v>
      </c>
      <c r="C18" s="102">
        <v>1015</v>
      </c>
      <c r="D18" s="82">
        <f t="shared" ref="D18" si="3">SUM(D19:D23)</f>
        <v>0</v>
      </c>
      <c r="E18" s="55">
        <v>2575.6999999999998</v>
      </c>
      <c r="F18" s="55">
        <f>SUM(F19:F23)</f>
        <v>403.09999999999997</v>
      </c>
      <c r="G18" s="261">
        <f t="shared" si="0"/>
        <v>-2172.6</v>
      </c>
      <c r="H18" s="261">
        <f t="shared" si="1"/>
        <v>15.650114531971889</v>
      </c>
      <c r="J18" s="209"/>
      <c r="K18" s="210"/>
      <c r="L18" s="210"/>
      <c r="M18" s="210"/>
    </row>
    <row r="19" spans="1:13" ht="27.75" customHeight="1">
      <c r="A19" s="99"/>
      <c r="B19" s="100" t="s">
        <v>222</v>
      </c>
      <c r="C19" s="101"/>
      <c r="D19" s="82"/>
      <c r="E19" s="82"/>
      <c r="F19" s="56">
        <v>89</v>
      </c>
      <c r="G19" s="262">
        <f t="shared" si="0"/>
        <v>89</v>
      </c>
      <c r="H19" s="261"/>
      <c r="J19" s="209"/>
      <c r="K19" s="86"/>
      <c r="L19" s="86"/>
      <c r="M19" s="86"/>
    </row>
    <row r="20" spans="1:13" ht="24.75" customHeight="1">
      <c r="A20" s="99"/>
      <c r="B20" s="100" t="s">
        <v>224</v>
      </c>
      <c r="C20" s="101"/>
      <c r="D20" s="82"/>
      <c r="E20" s="82"/>
      <c r="F20" s="56">
        <v>221.8</v>
      </c>
      <c r="G20" s="262">
        <f t="shared" si="0"/>
        <v>221.8</v>
      </c>
      <c r="H20" s="261"/>
      <c r="J20" s="209"/>
      <c r="K20" s="86"/>
      <c r="L20" s="86"/>
      <c r="M20" s="86"/>
    </row>
    <row r="21" spans="1:13" ht="24.75" customHeight="1">
      <c r="A21" s="99"/>
      <c r="B21" s="100" t="s">
        <v>225</v>
      </c>
      <c r="C21" s="101"/>
      <c r="D21" s="82"/>
      <c r="E21" s="82"/>
      <c r="F21" s="56">
        <v>35.5</v>
      </c>
      <c r="G21" s="262">
        <f t="shared" si="0"/>
        <v>35.5</v>
      </c>
      <c r="H21" s="261"/>
      <c r="J21" s="209"/>
      <c r="K21" s="86"/>
      <c r="L21" s="86"/>
      <c r="M21" s="86"/>
    </row>
    <row r="22" spans="1:13" ht="26.25" customHeight="1">
      <c r="A22" s="99"/>
      <c r="B22" s="103" t="s">
        <v>226</v>
      </c>
      <c r="C22" s="101"/>
      <c r="D22" s="82"/>
      <c r="E22" s="82"/>
      <c r="F22" s="56">
        <v>40.9</v>
      </c>
      <c r="G22" s="262">
        <f t="shared" si="0"/>
        <v>40.9</v>
      </c>
      <c r="H22" s="261"/>
      <c r="J22" s="209"/>
      <c r="K22" s="86"/>
      <c r="L22" s="211"/>
      <c r="M22" s="211"/>
    </row>
    <row r="23" spans="1:13" ht="24.75" customHeight="1">
      <c r="A23" s="99"/>
      <c r="B23" s="100" t="s">
        <v>227</v>
      </c>
      <c r="C23" s="101"/>
      <c r="D23" s="82"/>
      <c r="E23" s="82"/>
      <c r="F23" s="56">
        <v>15.9</v>
      </c>
      <c r="G23" s="262">
        <f t="shared" si="0"/>
        <v>15.9</v>
      </c>
      <c r="H23" s="261"/>
      <c r="J23" s="209"/>
      <c r="K23" s="86"/>
      <c r="L23" s="86"/>
      <c r="M23" s="86"/>
    </row>
    <row r="24" spans="1:13" ht="33.75" customHeight="1">
      <c r="A24" s="135" t="s">
        <v>143</v>
      </c>
      <c r="B24" s="236" t="s">
        <v>147</v>
      </c>
      <c r="C24" s="228">
        <v>1020</v>
      </c>
      <c r="D24" s="82">
        <f t="shared" ref="D24:E24" si="4">D25+D26+D27</f>
        <v>0</v>
      </c>
      <c r="E24" s="159">
        <f t="shared" si="4"/>
        <v>2636.8</v>
      </c>
      <c r="F24" s="159">
        <f>F25+F26+F27</f>
        <v>4003.6</v>
      </c>
      <c r="G24" s="263">
        <f t="shared" si="0"/>
        <v>1366.7999999999997</v>
      </c>
      <c r="H24" s="263">
        <f t="shared" si="1"/>
        <v>151.83555825242715</v>
      </c>
      <c r="J24" s="206"/>
      <c r="K24" s="207"/>
      <c r="L24" s="208"/>
      <c r="M24" s="208"/>
    </row>
    <row r="25" spans="1:13" ht="27.75" customHeight="1">
      <c r="A25" s="96" t="s">
        <v>228</v>
      </c>
      <c r="B25" s="97" t="s">
        <v>2</v>
      </c>
      <c r="C25" s="102">
        <v>1022</v>
      </c>
      <c r="D25" s="104"/>
      <c r="E25" s="104">
        <v>2174</v>
      </c>
      <c r="F25" s="104">
        <f>3286.7</f>
        <v>3286.7</v>
      </c>
      <c r="G25" s="261">
        <f t="shared" si="0"/>
        <v>1112.6999999999998</v>
      </c>
      <c r="H25" s="261">
        <f t="shared" si="1"/>
        <v>151.18215271389144</v>
      </c>
      <c r="J25" s="206"/>
      <c r="K25" s="210"/>
      <c r="L25" s="210"/>
      <c r="M25" s="210"/>
    </row>
    <row r="26" spans="1:13" ht="31.5" customHeight="1">
      <c r="A26" s="96" t="s">
        <v>229</v>
      </c>
      <c r="B26" s="97" t="s">
        <v>3</v>
      </c>
      <c r="C26" s="102">
        <v>1023</v>
      </c>
      <c r="D26" s="104"/>
      <c r="E26" s="104">
        <v>462.8</v>
      </c>
      <c r="F26" s="105">
        <v>692.5</v>
      </c>
      <c r="G26" s="261">
        <f t="shared" si="0"/>
        <v>229.7</v>
      </c>
      <c r="H26" s="261">
        <f t="shared" si="1"/>
        <v>149.63267070008644</v>
      </c>
      <c r="J26" s="206"/>
      <c r="K26" s="210"/>
      <c r="L26" s="210"/>
      <c r="M26" s="210"/>
    </row>
    <row r="27" spans="1:13" ht="33.75" customHeight="1">
      <c r="A27" s="96" t="s">
        <v>230</v>
      </c>
      <c r="B27" s="97" t="s">
        <v>231</v>
      </c>
      <c r="C27" s="98">
        <v>1025</v>
      </c>
      <c r="D27" s="104">
        <f>SUM(D28:D29)</f>
        <v>0</v>
      </c>
      <c r="E27" s="104">
        <f>SUM(E28:E29)</f>
        <v>0</v>
      </c>
      <c r="F27" s="104">
        <f>SUM(F28:F29)</f>
        <v>24.400000000000002</v>
      </c>
      <c r="G27" s="261">
        <f t="shared" si="0"/>
        <v>24.400000000000002</v>
      </c>
      <c r="H27" s="261"/>
      <c r="J27" s="206"/>
      <c r="K27" s="210"/>
      <c r="L27" s="210"/>
      <c r="M27" s="210"/>
    </row>
    <row r="28" spans="1:13" ht="39" customHeight="1">
      <c r="A28" s="96"/>
      <c r="B28" s="100" t="s">
        <v>232</v>
      </c>
      <c r="C28" s="106"/>
      <c r="D28" s="107"/>
      <c r="E28" s="107"/>
      <c r="F28" s="107">
        <v>21.6</v>
      </c>
      <c r="G28" s="262">
        <f t="shared" si="0"/>
        <v>21.6</v>
      </c>
      <c r="H28" s="261"/>
      <c r="J28" s="206"/>
      <c r="K28" s="212"/>
      <c r="L28" s="212"/>
      <c r="M28" s="212"/>
    </row>
    <row r="29" spans="1:13" ht="33.75" customHeight="1">
      <c r="A29" s="96"/>
      <c r="B29" s="100" t="s">
        <v>233</v>
      </c>
      <c r="C29" s="106"/>
      <c r="D29" s="107"/>
      <c r="E29" s="107"/>
      <c r="F29" s="107">
        <v>2.8</v>
      </c>
      <c r="G29" s="262">
        <f t="shared" si="0"/>
        <v>2.8</v>
      </c>
      <c r="H29" s="261"/>
      <c r="J29" s="213"/>
      <c r="K29" s="214"/>
      <c r="L29" s="214"/>
      <c r="M29" s="214"/>
    </row>
    <row r="30" spans="1:13" ht="26.25" customHeight="1">
      <c r="A30" s="112" t="s">
        <v>146</v>
      </c>
      <c r="B30" s="224" t="s">
        <v>148</v>
      </c>
      <c r="C30" s="225">
        <v>1030</v>
      </c>
      <c r="D30" s="104">
        <f>SUM(D31:D33)</f>
        <v>0</v>
      </c>
      <c r="E30" s="115">
        <f>SUM(E31:E33)</f>
        <v>6051.6</v>
      </c>
      <c r="F30" s="115">
        <f>SUM(F31:F33)</f>
        <v>335.8</v>
      </c>
      <c r="G30" s="263">
        <f t="shared" si="0"/>
        <v>-5715.8</v>
      </c>
      <c r="H30" s="263">
        <f t="shared" si="1"/>
        <v>5.5489457333597727</v>
      </c>
      <c r="J30" s="213"/>
      <c r="K30" s="208"/>
      <c r="L30" s="208"/>
      <c r="M30" s="208"/>
    </row>
    <row r="31" spans="1:13" ht="33.75" customHeight="1">
      <c r="A31" s="96" t="s">
        <v>234</v>
      </c>
      <c r="B31" s="97" t="s">
        <v>2</v>
      </c>
      <c r="C31" s="102">
        <v>1032</v>
      </c>
      <c r="D31" s="104"/>
      <c r="E31" s="104">
        <v>4972.5</v>
      </c>
      <c r="F31" s="104">
        <v>289.2</v>
      </c>
      <c r="G31" s="261">
        <f t="shared" si="0"/>
        <v>-4683.3</v>
      </c>
      <c r="H31" s="261">
        <f t="shared" si="1"/>
        <v>5.8159879336349922</v>
      </c>
      <c r="J31" s="190"/>
      <c r="K31" s="190"/>
      <c r="L31" s="190"/>
      <c r="M31" s="190"/>
    </row>
    <row r="32" spans="1:13" ht="33.75" customHeight="1">
      <c r="A32" s="96" t="s">
        <v>235</v>
      </c>
      <c r="B32" s="97" t="s">
        <v>3</v>
      </c>
      <c r="C32" s="102">
        <v>1033</v>
      </c>
      <c r="D32" s="104"/>
      <c r="E32" s="104">
        <v>1079.0999999999999</v>
      </c>
      <c r="F32" s="104"/>
      <c r="G32" s="261">
        <f t="shared" si="0"/>
        <v>-1079.0999999999999</v>
      </c>
      <c r="H32" s="261">
        <f t="shared" si="1"/>
        <v>0</v>
      </c>
    </row>
    <row r="33" spans="1:8" ht="33.75" customHeight="1">
      <c r="A33" s="96" t="s">
        <v>236</v>
      </c>
      <c r="B33" s="97" t="s">
        <v>148</v>
      </c>
      <c r="C33" s="102">
        <v>1035</v>
      </c>
      <c r="D33" s="108">
        <f>SUM(D34)</f>
        <v>0</v>
      </c>
      <c r="E33" s="108">
        <f t="shared" ref="E33" si="5">SUM(E34)</f>
        <v>0</v>
      </c>
      <c r="F33" s="108">
        <f>SUM(F34)</f>
        <v>46.6</v>
      </c>
      <c r="G33" s="261">
        <f t="shared" si="0"/>
        <v>46.6</v>
      </c>
      <c r="H33" s="261"/>
    </row>
    <row r="34" spans="1:8" ht="24.75" customHeight="1">
      <c r="A34" s="102"/>
      <c r="B34" s="100" t="s">
        <v>237</v>
      </c>
      <c r="C34" s="109"/>
      <c r="D34" s="109"/>
      <c r="E34" s="109"/>
      <c r="F34" s="110">
        <v>46.6</v>
      </c>
      <c r="G34" s="262">
        <f t="shared" si="0"/>
        <v>46.6</v>
      </c>
      <c r="H34" s="262"/>
    </row>
    <row r="35" spans="1:8" ht="25.5" customHeight="1">
      <c r="A35" s="237" t="s">
        <v>149</v>
      </c>
      <c r="B35" s="238" t="s">
        <v>277</v>
      </c>
      <c r="C35" s="120"/>
      <c r="D35" s="55">
        <f>D37+D67+D76</f>
        <v>245.1</v>
      </c>
      <c r="E35" s="55">
        <f>E37+E67+E76</f>
        <v>300</v>
      </c>
      <c r="F35" s="55">
        <f>F37+F67+F76</f>
        <v>855.59999999999991</v>
      </c>
      <c r="G35" s="261">
        <f t="shared" si="0"/>
        <v>555.59999999999991</v>
      </c>
      <c r="H35" s="261">
        <f t="shared" si="1"/>
        <v>285.2</v>
      </c>
    </row>
    <row r="36" spans="1:8" ht="27" customHeight="1">
      <c r="A36" s="163"/>
      <c r="B36" s="239" t="s">
        <v>141</v>
      </c>
      <c r="C36" s="139"/>
      <c r="D36" s="56"/>
      <c r="E36" s="56"/>
      <c r="F36" s="56"/>
      <c r="G36" s="261"/>
      <c r="H36" s="261"/>
    </row>
    <row r="37" spans="1:8" ht="40.5" customHeight="1">
      <c r="A37" s="135" t="s">
        <v>150</v>
      </c>
      <c r="B37" s="235" t="s">
        <v>145</v>
      </c>
      <c r="C37" s="120">
        <v>1010</v>
      </c>
      <c r="D37" s="159">
        <f>D38+D45+D46+D47+D48</f>
        <v>3.8</v>
      </c>
      <c r="E37" s="159">
        <f>E38+E45+E46+E47+E48</f>
        <v>0</v>
      </c>
      <c r="F37" s="159">
        <f>F38+F45+F46+F47+F48</f>
        <v>760.3</v>
      </c>
      <c r="G37" s="263">
        <f t="shared" si="0"/>
        <v>760.3</v>
      </c>
      <c r="H37" s="263"/>
    </row>
    <row r="38" spans="1:8" ht="40.5" customHeight="1">
      <c r="A38" s="96" t="s">
        <v>238</v>
      </c>
      <c r="B38" s="111" t="s">
        <v>176</v>
      </c>
      <c r="C38" s="98">
        <v>1011</v>
      </c>
      <c r="D38" s="104">
        <f>SUM(D39:D44)</f>
        <v>0</v>
      </c>
      <c r="E38" s="104">
        <f>SUM(E39:E44)</f>
        <v>0</v>
      </c>
      <c r="F38" s="104">
        <f>SUM(F39:F44)</f>
        <v>224.60000000000002</v>
      </c>
      <c r="G38" s="261">
        <f t="shared" si="0"/>
        <v>224.60000000000002</v>
      </c>
      <c r="H38" s="262"/>
    </row>
    <row r="39" spans="1:8" ht="40.5" customHeight="1">
      <c r="A39" s="112"/>
      <c r="B39" s="113" t="s">
        <v>212</v>
      </c>
      <c r="C39" s="114"/>
      <c r="D39" s="115"/>
      <c r="E39" s="115"/>
      <c r="F39" s="107">
        <v>113.5</v>
      </c>
      <c r="G39" s="262">
        <f t="shared" si="0"/>
        <v>113.5</v>
      </c>
      <c r="H39" s="262"/>
    </row>
    <row r="40" spans="1:8" ht="40.5" customHeight="1">
      <c r="A40" s="112"/>
      <c r="B40" s="113" t="s">
        <v>213</v>
      </c>
      <c r="C40" s="114"/>
      <c r="D40" s="115"/>
      <c r="E40" s="115"/>
      <c r="F40" s="107">
        <v>30.8</v>
      </c>
      <c r="G40" s="262">
        <f t="shared" si="0"/>
        <v>30.8</v>
      </c>
      <c r="H40" s="262"/>
    </row>
    <row r="41" spans="1:8" ht="40.5" customHeight="1">
      <c r="A41" s="112"/>
      <c r="B41" s="113" t="s">
        <v>215</v>
      </c>
      <c r="C41" s="114"/>
      <c r="D41" s="115"/>
      <c r="E41" s="115"/>
      <c r="F41" s="107">
        <v>0.9</v>
      </c>
      <c r="G41" s="262">
        <f t="shared" si="0"/>
        <v>0.9</v>
      </c>
      <c r="H41" s="262"/>
    </row>
    <row r="42" spans="1:8" ht="40.5" customHeight="1">
      <c r="A42" s="96"/>
      <c r="B42" s="113" t="s">
        <v>239</v>
      </c>
      <c r="C42" s="116"/>
      <c r="D42" s="116"/>
      <c r="E42" s="116"/>
      <c r="F42" s="110">
        <f>44.5+3.2</f>
        <v>47.7</v>
      </c>
      <c r="G42" s="262">
        <f t="shared" si="0"/>
        <v>47.7</v>
      </c>
      <c r="H42" s="262"/>
    </row>
    <row r="43" spans="1:8" ht="40.5" customHeight="1">
      <c r="A43" s="99"/>
      <c r="B43" s="100" t="s">
        <v>241</v>
      </c>
      <c r="C43" s="106"/>
      <c r="D43" s="110"/>
      <c r="E43" s="107"/>
      <c r="F43" s="110">
        <v>26.7</v>
      </c>
      <c r="G43" s="262">
        <f t="shared" si="0"/>
        <v>26.7</v>
      </c>
      <c r="H43" s="262"/>
    </row>
    <row r="44" spans="1:8" ht="40.5" customHeight="1">
      <c r="A44" s="99"/>
      <c r="B44" s="100" t="s">
        <v>243</v>
      </c>
      <c r="C44" s="106"/>
      <c r="D44" s="110"/>
      <c r="E44" s="107"/>
      <c r="F44" s="264">
        <v>5</v>
      </c>
      <c r="G44" s="262">
        <f t="shared" si="0"/>
        <v>5</v>
      </c>
      <c r="H44" s="262"/>
    </row>
    <row r="45" spans="1:8" ht="40.5" customHeight="1">
      <c r="A45" s="96" t="s">
        <v>244</v>
      </c>
      <c r="B45" s="118" t="s">
        <v>2</v>
      </c>
      <c r="C45" s="98">
        <v>1012</v>
      </c>
      <c r="D45" s="104">
        <v>3.1</v>
      </c>
      <c r="E45" s="104"/>
      <c r="F45" s="104">
        <v>5.5</v>
      </c>
      <c r="G45" s="261">
        <f t="shared" si="0"/>
        <v>5.5</v>
      </c>
      <c r="H45" s="262"/>
    </row>
    <row r="46" spans="1:8" ht="40.5" customHeight="1">
      <c r="A46" s="96" t="s">
        <v>245</v>
      </c>
      <c r="B46" s="118" t="s">
        <v>3</v>
      </c>
      <c r="C46" s="98">
        <v>1013</v>
      </c>
      <c r="D46" s="104">
        <v>0.7</v>
      </c>
      <c r="E46" s="104"/>
      <c r="F46" s="104">
        <v>1.2</v>
      </c>
      <c r="G46" s="261">
        <f t="shared" si="0"/>
        <v>1.2</v>
      </c>
      <c r="H46" s="262"/>
    </row>
    <row r="47" spans="1:8" ht="40.5" customHeight="1">
      <c r="A47" s="96" t="s">
        <v>246</v>
      </c>
      <c r="B47" s="118" t="s">
        <v>4</v>
      </c>
      <c r="C47" s="98">
        <v>1014</v>
      </c>
      <c r="D47" s="104"/>
      <c r="E47" s="104"/>
      <c r="F47" s="104">
        <v>131.6</v>
      </c>
      <c r="G47" s="261">
        <f t="shared" si="0"/>
        <v>131.6</v>
      </c>
      <c r="H47" s="262"/>
    </row>
    <row r="48" spans="1:8" ht="40.5" customHeight="1">
      <c r="A48" s="96" t="s">
        <v>247</v>
      </c>
      <c r="B48" s="119" t="s">
        <v>155</v>
      </c>
      <c r="C48" s="120">
        <v>1015</v>
      </c>
      <c r="D48" s="104">
        <f>SUM(D49:D66)</f>
        <v>0</v>
      </c>
      <c r="E48" s="104">
        <f>SUM(E49:E66)</f>
        <v>0</v>
      </c>
      <c r="F48" s="104">
        <f>SUM(F49:F66)</f>
        <v>397.40000000000003</v>
      </c>
      <c r="G48" s="261">
        <f t="shared" si="0"/>
        <v>397.40000000000003</v>
      </c>
      <c r="H48" s="262"/>
    </row>
    <row r="49" spans="1:8" ht="40.5" customHeight="1">
      <c r="A49" s="99"/>
      <c r="B49" s="103" t="s">
        <v>221</v>
      </c>
      <c r="C49" s="119"/>
      <c r="D49" s="110"/>
      <c r="E49" s="107"/>
      <c r="F49" s="110">
        <v>11.3</v>
      </c>
      <c r="G49" s="262">
        <f t="shared" si="0"/>
        <v>11.3</v>
      </c>
      <c r="H49" s="262"/>
    </row>
    <row r="50" spans="1:8" ht="40.5" customHeight="1">
      <c r="A50" s="99"/>
      <c r="B50" s="103" t="s">
        <v>223</v>
      </c>
      <c r="C50" s="119"/>
      <c r="D50" s="110"/>
      <c r="E50" s="107"/>
      <c r="F50" s="110">
        <v>80.599999999999994</v>
      </c>
      <c r="G50" s="262">
        <f t="shared" si="0"/>
        <v>80.599999999999994</v>
      </c>
      <c r="H50" s="262"/>
    </row>
    <row r="51" spans="1:8" ht="40.5" customHeight="1">
      <c r="A51" s="99"/>
      <c r="B51" s="103" t="s">
        <v>224</v>
      </c>
      <c r="C51" s="119"/>
      <c r="D51" s="110"/>
      <c r="E51" s="107"/>
      <c r="F51" s="110">
        <v>49.4</v>
      </c>
      <c r="G51" s="262">
        <f t="shared" si="0"/>
        <v>49.4</v>
      </c>
      <c r="H51" s="262"/>
    </row>
    <row r="52" spans="1:8" ht="40.5" customHeight="1">
      <c r="A52" s="99"/>
      <c r="B52" s="103" t="s">
        <v>249</v>
      </c>
      <c r="C52" s="119"/>
      <c r="D52" s="110"/>
      <c r="E52" s="107"/>
      <c r="F52" s="110">
        <v>41.8</v>
      </c>
      <c r="G52" s="262">
        <f t="shared" si="0"/>
        <v>41.8</v>
      </c>
      <c r="H52" s="262"/>
    </row>
    <row r="53" spans="1:8" ht="40.5" customHeight="1">
      <c r="A53" s="99"/>
      <c r="B53" s="103" t="s">
        <v>250</v>
      </c>
      <c r="C53" s="119"/>
      <c r="D53" s="110"/>
      <c r="E53" s="107"/>
      <c r="F53" s="110">
        <v>11.4</v>
      </c>
      <c r="G53" s="262">
        <f t="shared" si="0"/>
        <v>11.4</v>
      </c>
      <c r="H53" s="262"/>
    </row>
    <row r="54" spans="1:8" ht="40.5" customHeight="1">
      <c r="A54" s="99"/>
      <c r="B54" s="117" t="s">
        <v>251</v>
      </c>
      <c r="C54" s="119"/>
      <c r="D54" s="110"/>
      <c r="E54" s="107"/>
      <c r="F54" s="110">
        <f>151.4</f>
        <v>151.4</v>
      </c>
      <c r="G54" s="262">
        <f t="shared" si="0"/>
        <v>151.4</v>
      </c>
      <c r="H54" s="262"/>
    </row>
    <row r="55" spans="1:8" ht="40.5" customHeight="1">
      <c r="A55" s="99"/>
      <c r="B55" s="121" t="s">
        <v>227</v>
      </c>
      <c r="C55" s="119"/>
      <c r="D55" s="110"/>
      <c r="E55" s="107"/>
      <c r="F55" s="110">
        <v>1.6</v>
      </c>
      <c r="G55" s="262">
        <f t="shared" si="0"/>
        <v>1.6</v>
      </c>
      <c r="H55" s="262"/>
    </row>
    <row r="56" spans="1:8" ht="40.5" customHeight="1">
      <c r="A56" s="99"/>
      <c r="B56" s="100" t="s">
        <v>252</v>
      </c>
      <c r="C56" s="119"/>
      <c r="D56" s="110"/>
      <c r="E56" s="107"/>
      <c r="F56" s="110">
        <v>7.8</v>
      </c>
      <c r="G56" s="262">
        <f t="shared" si="0"/>
        <v>7.8</v>
      </c>
      <c r="H56" s="262"/>
    </row>
    <row r="57" spans="1:8" ht="40.5" customHeight="1">
      <c r="A57" s="99"/>
      <c r="B57" s="100" t="s">
        <v>253</v>
      </c>
      <c r="C57" s="119"/>
      <c r="D57" s="110"/>
      <c r="E57" s="107"/>
      <c r="F57" s="110">
        <v>5.8</v>
      </c>
      <c r="G57" s="262">
        <f t="shared" si="0"/>
        <v>5.8</v>
      </c>
      <c r="H57" s="262"/>
    </row>
    <row r="58" spans="1:8" ht="40.5" customHeight="1">
      <c r="A58" s="99"/>
      <c r="B58" s="100" t="s">
        <v>255</v>
      </c>
      <c r="C58" s="119"/>
      <c r="D58" s="110"/>
      <c r="E58" s="107"/>
      <c r="F58" s="110">
        <v>4.8</v>
      </c>
      <c r="G58" s="262">
        <f t="shared" si="0"/>
        <v>4.8</v>
      </c>
      <c r="H58" s="262"/>
    </row>
    <row r="59" spans="1:8" ht="40.5" customHeight="1">
      <c r="A59" s="99"/>
      <c r="B59" s="100" t="s">
        <v>256</v>
      </c>
      <c r="C59" s="119"/>
      <c r="D59" s="110"/>
      <c r="E59" s="107"/>
      <c r="F59" s="110">
        <v>8.6</v>
      </c>
      <c r="G59" s="262">
        <f t="shared" si="0"/>
        <v>8.6</v>
      </c>
      <c r="H59" s="262"/>
    </row>
    <row r="60" spans="1:8" ht="40.5" customHeight="1">
      <c r="A60" s="99"/>
      <c r="B60" s="100" t="s">
        <v>257</v>
      </c>
      <c r="C60" s="119"/>
      <c r="D60" s="110"/>
      <c r="E60" s="107"/>
      <c r="F60" s="110">
        <v>11.5</v>
      </c>
      <c r="G60" s="262">
        <f t="shared" si="0"/>
        <v>11.5</v>
      </c>
      <c r="H60" s="262"/>
    </row>
    <row r="61" spans="1:8" ht="40.5" customHeight="1">
      <c r="A61" s="99"/>
      <c r="B61" s="100" t="s">
        <v>258</v>
      </c>
      <c r="C61" s="119"/>
      <c r="D61" s="110"/>
      <c r="E61" s="107"/>
      <c r="F61" s="110">
        <v>1.6</v>
      </c>
      <c r="G61" s="262">
        <f t="shared" si="0"/>
        <v>1.6</v>
      </c>
      <c r="H61" s="262"/>
    </row>
    <row r="62" spans="1:8" ht="40.5" customHeight="1">
      <c r="A62" s="96"/>
      <c r="B62" s="103" t="s">
        <v>259</v>
      </c>
      <c r="C62" s="119"/>
      <c r="D62" s="110"/>
      <c r="E62" s="107"/>
      <c r="F62" s="110">
        <v>2.7</v>
      </c>
      <c r="G62" s="262">
        <f t="shared" si="0"/>
        <v>2.7</v>
      </c>
      <c r="H62" s="262"/>
    </row>
    <row r="63" spans="1:8" ht="40.5" customHeight="1">
      <c r="A63" s="96"/>
      <c r="B63" s="123" t="s">
        <v>261</v>
      </c>
      <c r="C63" s="119"/>
      <c r="D63" s="110"/>
      <c r="E63" s="107"/>
      <c r="F63" s="110">
        <v>0.5</v>
      </c>
      <c r="G63" s="262">
        <f t="shared" si="0"/>
        <v>0.5</v>
      </c>
      <c r="H63" s="262"/>
    </row>
    <row r="64" spans="1:8" ht="40.5" customHeight="1">
      <c r="A64" s="96"/>
      <c r="B64" s="110" t="s">
        <v>262</v>
      </c>
      <c r="C64" s="119"/>
      <c r="D64" s="110"/>
      <c r="E64" s="107"/>
      <c r="F64" s="110">
        <v>0.2</v>
      </c>
      <c r="G64" s="262">
        <f t="shared" si="0"/>
        <v>0.2</v>
      </c>
      <c r="H64" s="262"/>
    </row>
    <row r="65" spans="1:8" ht="40.5" customHeight="1">
      <c r="A65" s="96"/>
      <c r="B65" s="123" t="s">
        <v>263</v>
      </c>
      <c r="C65" s="119"/>
      <c r="D65" s="110"/>
      <c r="E65" s="107"/>
      <c r="F65" s="110">
        <v>1.9</v>
      </c>
      <c r="G65" s="262">
        <f t="shared" si="0"/>
        <v>1.9</v>
      </c>
      <c r="H65" s="262"/>
    </row>
    <row r="66" spans="1:8" ht="40.5" customHeight="1">
      <c r="A66" s="96"/>
      <c r="B66" s="121" t="s">
        <v>264</v>
      </c>
      <c r="C66" s="119"/>
      <c r="D66" s="110"/>
      <c r="E66" s="107"/>
      <c r="F66" s="110">
        <v>4.5</v>
      </c>
      <c r="G66" s="262">
        <f t="shared" si="0"/>
        <v>4.5</v>
      </c>
      <c r="H66" s="262"/>
    </row>
    <row r="67" spans="1:8" ht="40.5" customHeight="1">
      <c r="A67" s="112" t="s">
        <v>151</v>
      </c>
      <c r="B67" s="223" t="s">
        <v>147</v>
      </c>
      <c r="C67" s="114">
        <v>1020</v>
      </c>
      <c r="D67" s="115">
        <f>SUM(D68,D71)</f>
        <v>94.2</v>
      </c>
      <c r="E67" s="115">
        <f>SUM(E68,E71)</f>
        <v>300</v>
      </c>
      <c r="F67" s="115">
        <f>SUM(F68,F71)</f>
        <v>93.5</v>
      </c>
      <c r="G67" s="263">
        <f t="shared" si="0"/>
        <v>-206.5</v>
      </c>
      <c r="H67" s="263">
        <f>F67/E67*100</f>
        <v>31.166666666666664</v>
      </c>
    </row>
    <row r="68" spans="1:8" ht="40.5" customHeight="1">
      <c r="A68" s="96" t="s">
        <v>265</v>
      </c>
      <c r="B68" s="111" t="s">
        <v>176</v>
      </c>
      <c r="C68" s="98">
        <v>1021</v>
      </c>
      <c r="D68" s="104">
        <f>SUM(D69:D70)</f>
        <v>39.700000000000003</v>
      </c>
      <c r="E68" s="104">
        <f>SUM(E69:E70)</f>
        <v>10.1</v>
      </c>
      <c r="F68" s="104">
        <f>SUM(F69:F70)</f>
        <v>0</v>
      </c>
      <c r="G68" s="261">
        <f t="shared" si="0"/>
        <v>-10.1</v>
      </c>
      <c r="H68" s="262"/>
    </row>
    <row r="69" spans="1:8" ht="40.5" customHeight="1">
      <c r="A69" s="112"/>
      <c r="B69" s="100" t="s">
        <v>239</v>
      </c>
      <c r="C69" s="106"/>
      <c r="D69" s="107">
        <v>23.7</v>
      </c>
      <c r="E69" s="107"/>
      <c r="F69" s="107"/>
      <c r="G69" s="262">
        <f t="shared" si="0"/>
        <v>0</v>
      </c>
      <c r="H69" s="262"/>
    </row>
    <row r="70" spans="1:8" ht="40.5" customHeight="1">
      <c r="A70" s="99"/>
      <c r="B70" s="125" t="s">
        <v>266</v>
      </c>
      <c r="C70" s="106"/>
      <c r="D70" s="107">
        <v>16</v>
      </c>
      <c r="E70" s="107">
        <v>10.1</v>
      </c>
      <c r="F70" s="107"/>
      <c r="G70" s="262">
        <f t="shared" si="0"/>
        <v>-10.1</v>
      </c>
      <c r="H70" s="262"/>
    </row>
    <row r="71" spans="1:8" ht="40.5" customHeight="1">
      <c r="A71" s="96" t="s">
        <v>267</v>
      </c>
      <c r="B71" s="126" t="s">
        <v>268</v>
      </c>
      <c r="C71" s="98">
        <v>1025</v>
      </c>
      <c r="D71" s="104">
        <f>SUM(D72:D75)</f>
        <v>54.5</v>
      </c>
      <c r="E71" s="104">
        <f>SUM(E72:E75)</f>
        <v>289.89999999999998</v>
      </c>
      <c r="F71" s="104">
        <f>SUM(F72:F75)</f>
        <v>93.5</v>
      </c>
      <c r="G71" s="261">
        <f t="shared" si="0"/>
        <v>-196.39999999999998</v>
      </c>
      <c r="H71" s="261">
        <f>F71/E71*100</f>
        <v>32.252500862366333</v>
      </c>
    </row>
    <row r="72" spans="1:8" ht="40.5" customHeight="1">
      <c r="A72" s="112"/>
      <c r="B72" s="103" t="s">
        <v>250</v>
      </c>
      <c r="C72" s="114"/>
      <c r="D72" s="107">
        <v>7.5</v>
      </c>
      <c r="E72" s="107">
        <v>40</v>
      </c>
      <c r="F72" s="107"/>
      <c r="G72" s="262">
        <f t="shared" si="0"/>
        <v>-40</v>
      </c>
      <c r="H72" s="262"/>
    </row>
    <row r="73" spans="1:8" ht="40.5" customHeight="1">
      <c r="A73" s="112"/>
      <c r="B73" s="117" t="s">
        <v>269</v>
      </c>
      <c r="C73" s="114"/>
      <c r="D73" s="107"/>
      <c r="E73" s="107"/>
      <c r="F73" s="107">
        <v>19.600000000000001</v>
      </c>
      <c r="G73" s="262">
        <f t="shared" si="0"/>
        <v>19.600000000000001</v>
      </c>
      <c r="H73" s="262"/>
    </row>
    <row r="74" spans="1:8" ht="40.5" customHeight="1">
      <c r="A74" s="99"/>
      <c r="B74" s="125" t="s">
        <v>270</v>
      </c>
      <c r="C74" s="106"/>
      <c r="D74" s="107">
        <v>38.299999999999997</v>
      </c>
      <c r="E74" s="107">
        <v>121.2</v>
      </c>
      <c r="F74" s="107">
        <f>73.2+2.8-2.1</f>
        <v>73.900000000000006</v>
      </c>
      <c r="G74" s="262">
        <f t="shared" si="0"/>
        <v>-47.3</v>
      </c>
      <c r="H74" s="262"/>
    </row>
    <row r="75" spans="1:8" ht="40.5" customHeight="1">
      <c r="A75" s="99"/>
      <c r="B75" s="100" t="s">
        <v>271</v>
      </c>
      <c r="C75" s="106"/>
      <c r="D75" s="107">
        <v>8.6999999999999993</v>
      </c>
      <c r="E75" s="107">
        <v>128.69999999999999</v>
      </c>
      <c r="F75" s="107"/>
      <c r="G75" s="262">
        <f t="shared" si="0"/>
        <v>-128.69999999999999</v>
      </c>
      <c r="H75" s="262"/>
    </row>
    <row r="76" spans="1:8" ht="40.5" customHeight="1">
      <c r="A76" s="112" t="s">
        <v>152</v>
      </c>
      <c r="B76" s="224" t="s">
        <v>148</v>
      </c>
      <c r="C76" s="114">
        <v>1030</v>
      </c>
      <c r="D76" s="115">
        <f>SUM(D77,D79)</f>
        <v>147.1</v>
      </c>
      <c r="E76" s="115">
        <f t="shared" ref="E76:F76" si="6">SUM(E77,E79)</f>
        <v>0</v>
      </c>
      <c r="F76" s="115">
        <f t="shared" si="6"/>
        <v>1.8000000000000003</v>
      </c>
      <c r="G76" s="263">
        <f t="shared" si="0"/>
        <v>1.8000000000000003</v>
      </c>
      <c r="H76" s="262"/>
    </row>
    <row r="77" spans="1:8" ht="40.5" customHeight="1">
      <c r="A77" s="96" t="s">
        <v>272</v>
      </c>
      <c r="B77" s="111" t="s">
        <v>176</v>
      </c>
      <c r="C77" s="98">
        <v>1031</v>
      </c>
      <c r="D77" s="104">
        <f t="shared" ref="D77:E77" si="7">D78</f>
        <v>53.1</v>
      </c>
      <c r="E77" s="104">
        <f t="shared" si="7"/>
        <v>0</v>
      </c>
      <c r="F77" s="104">
        <f>SUM(F78:F78)</f>
        <v>0</v>
      </c>
      <c r="G77" s="262">
        <f t="shared" si="0"/>
        <v>0</v>
      </c>
      <c r="H77" s="262"/>
    </row>
    <row r="78" spans="1:8" ht="40.5" customHeight="1">
      <c r="A78" s="127"/>
      <c r="B78" s="117" t="s">
        <v>214</v>
      </c>
      <c r="C78" s="101"/>
      <c r="D78" s="107">
        <v>53.1</v>
      </c>
      <c r="E78" s="107"/>
      <c r="F78" s="107"/>
      <c r="G78" s="262">
        <f t="shared" si="0"/>
        <v>0</v>
      </c>
      <c r="H78" s="262"/>
    </row>
    <row r="79" spans="1:8" ht="40.5" customHeight="1">
      <c r="A79" s="96" t="s">
        <v>273</v>
      </c>
      <c r="B79" s="128" t="s">
        <v>148</v>
      </c>
      <c r="C79" s="102">
        <v>1035</v>
      </c>
      <c r="D79" s="129">
        <f>SUM(D80:D84)</f>
        <v>94</v>
      </c>
      <c r="E79" s="129">
        <f>SUM(E80:E84)</f>
        <v>0</v>
      </c>
      <c r="F79" s="129">
        <f>SUM(F80:F84)</f>
        <v>1.8000000000000003</v>
      </c>
      <c r="G79" s="261">
        <f t="shared" si="0"/>
        <v>1.8000000000000003</v>
      </c>
      <c r="H79" s="262"/>
    </row>
    <row r="80" spans="1:8" ht="40.5" customHeight="1">
      <c r="A80" s="130"/>
      <c r="B80" s="100" t="s">
        <v>274</v>
      </c>
      <c r="C80" s="106"/>
      <c r="D80" s="107">
        <v>94</v>
      </c>
      <c r="E80" s="107"/>
      <c r="F80" s="129"/>
      <c r="G80" s="262">
        <f t="shared" si="0"/>
        <v>0</v>
      </c>
      <c r="H80" s="262"/>
    </row>
    <row r="81" spans="1:8" ht="40.5" customHeight="1">
      <c r="A81" s="130"/>
      <c r="B81" s="131" t="s">
        <v>254</v>
      </c>
      <c r="C81" s="106"/>
      <c r="D81" s="107"/>
      <c r="E81" s="107"/>
      <c r="F81" s="132">
        <v>0.4</v>
      </c>
      <c r="G81" s="262">
        <f t="shared" si="0"/>
        <v>0.4</v>
      </c>
      <c r="H81" s="262"/>
    </row>
    <row r="82" spans="1:8" ht="40.5" customHeight="1">
      <c r="A82" s="130"/>
      <c r="B82" s="131" t="s">
        <v>275</v>
      </c>
      <c r="C82" s="106"/>
      <c r="D82" s="107"/>
      <c r="E82" s="107"/>
      <c r="F82" s="132">
        <v>0.2</v>
      </c>
      <c r="G82" s="262">
        <f t="shared" si="0"/>
        <v>0.2</v>
      </c>
      <c r="H82" s="262"/>
    </row>
    <row r="83" spans="1:8" ht="40.5" customHeight="1">
      <c r="A83" s="130"/>
      <c r="B83" s="131" t="s">
        <v>276</v>
      </c>
      <c r="C83" s="106"/>
      <c r="D83" s="107"/>
      <c r="E83" s="107"/>
      <c r="F83" s="132">
        <v>0.6</v>
      </c>
      <c r="G83" s="262">
        <f t="shared" si="0"/>
        <v>0.6</v>
      </c>
      <c r="H83" s="262"/>
    </row>
    <row r="84" spans="1:8" ht="27" customHeight="1">
      <c r="A84" s="99"/>
      <c r="B84" s="131" t="s">
        <v>77</v>
      </c>
      <c r="C84" s="106"/>
      <c r="D84" s="107"/>
      <c r="E84" s="107"/>
      <c r="F84" s="132">
        <v>0.6</v>
      </c>
      <c r="G84" s="262">
        <f t="shared" si="0"/>
        <v>0.6</v>
      </c>
      <c r="H84" s="262"/>
    </row>
    <row r="85" spans="1:8" ht="24.75" customHeight="1">
      <c r="A85" s="130" t="s">
        <v>167</v>
      </c>
      <c r="B85" s="128" t="s">
        <v>278</v>
      </c>
      <c r="C85" s="139"/>
      <c r="D85" s="55">
        <f>D87+D100+D118</f>
        <v>613.5</v>
      </c>
      <c r="E85" s="55">
        <f>E87+E100+E118</f>
        <v>805.7</v>
      </c>
      <c r="F85" s="55">
        <f>F87+F100+F118</f>
        <v>467.69999999999993</v>
      </c>
      <c r="G85" s="261">
        <f t="shared" si="0"/>
        <v>-338.00000000000011</v>
      </c>
      <c r="H85" s="261">
        <f t="shared" si="1"/>
        <v>58.048901576269074</v>
      </c>
    </row>
    <row r="86" spans="1:8" ht="24.75" customHeight="1">
      <c r="A86" s="133"/>
      <c r="B86" s="148" t="s">
        <v>141</v>
      </c>
      <c r="C86" s="139"/>
      <c r="D86" s="56"/>
      <c r="E86" s="56"/>
      <c r="F86" s="56"/>
      <c r="G86" s="261"/>
      <c r="H86" s="261"/>
    </row>
    <row r="87" spans="1:8" ht="24.75" customHeight="1">
      <c r="A87" s="133" t="s">
        <v>168</v>
      </c>
      <c r="B87" s="227" t="s">
        <v>145</v>
      </c>
      <c r="C87" s="228">
        <v>1010</v>
      </c>
      <c r="D87" s="159">
        <f t="shared" ref="D87:E87" si="8">D88+D92</f>
        <v>0</v>
      </c>
      <c r="E87" s="159">
        <f t="shared" si="8"/>
        <v>0</v>
      </c>
      <c r="F87" s="159">
        <f>F88+F92</f>
        <v>467.69999999999993</v>
      </c>
      <c r="G87" s="263">
        <f t="shared" si="0"/>
        <v>467.69999999999993</v>
      </c>
      <c r="H87" s="263"/>
    </row>
    <row r="88" spans="1:8" ht="24.75" customHeight="1">
      <c r="A88" s="130" t="s">
        <v>279</v>
      </c>
      <c r="B88" s="97" t="s">
        <v>176</v>
      </c>
      <c r="C88" s="98">
        <v>1011</v>
      </c>
      <c r="D88" s="104">
        <f t="shared" ref="D88:E88" si="9">SUM(D89:D91)</f>
        <v>0</v>
      </c>
      <c r="E88" s="104">
        <f t="shared" si="9"/>
        <v>0</v>
      </c>
      <c r="F88" s="104">
        <f>SUM(F89:F91)</f>
        <v>159.4</v>
      </c>
      <c r="G88" s="261">
        <f t="shared" si="0"/>
        <v>159.4</v>
      </c>
      <c r="H88" s="262"/>
    </row>
    <row r="89" spans="1:8" ht="24.75" customHeight="1">
      <c r="A89" s="135"/>
      <c r="B89" s="100" t="s">
        <v>214</v>
      </c>
      <c r="C89" s="136"/>
      <c r="D89" s="107"/>
      <c r="E89" s="107"/>
      <c r="F89" s="107">
        <v>155.4</v>
      </c>
      <c r="G89" s="262">
        <f t="shared" si="0"/>
        <v>155.4</v>
      </c>
      <c r="H89" s="262"/>
    </row>
    <row r="90" spans="1:8" ht="24.75" customHeight="1">
      <c r="A90" s="135"/>
      <c r="B90" s="100" t="s">
        <v>280</v>
      </c>
      <c r="C90" s="136"/>
      <c r="D90" s="107"/>
      <c r="E90" s="107"/>
      <c r="F90" s="107">
        <v>0.2</v>
      </c>
      <c r="G90" s="262">
        <f t="shared" si="0"/>
        <v>0.2</v>
      </c>
      <c r="H90" s="262"/>
    </row>
    <row r="91" spans="1:8" ht="43.5" customHeight="1">
      <c r="A91" s="135"/>
      <c r="B91" s="100" t="s">
        <v>239</v>
      </c>
      <c r="C91" s="136"/>
      <c r="D91" s="107"/>
      <c r="E91" s="107"/>
      <c r="F91" s="107">
        <v>3.8</v>
      </c>
      <c r="G91" s="262">
        <f t="shared" si="0"/>
        <v>3.8</v>
      </c>
      <c r="H91" s="262"/>
    </row>
    <row r="92" spans="1:8" ht="24.75" customHeight="1">
      <c r="A92" s="130" t="s">
        <v>282</v>
      </c>
      <c r="B92" s="137" t="s">
        <v>283</v>
      </c>
      <c r="C92" s="120">
        <v>1015</v>
      </c>
      <c r="D92" s="104">
        <f>SUM(D93:D99)</f>
        <v>0</v>
      </c>
      <c r="E92" s="104">
        <f>SUM(E93:E99)</f>
        <v>0</v>
      </c>
      <c r="F92" s="104">
        <f>SUM(F93:F99)</f>
        <v>308.29999999999995</v>
      </c>
      <c r="G92" s="261">
        <f t="shared" si="0"/>
        <v>308.29999999999995</v>
      </c>
      <c r="H92" s="262"/>
    </row>
    <row r="93" spans="1:8" ht="24.75" customHeight="1">
      <c r="A93" s="135"/>
      <c r="B93" s="138" t="s">
        <v>284</v>
      </c>
      <c r="C93" s="139"/>
      <c r="D93" s="107"/>
      <c r="E93" s="107"/>
      <c r="F93" s="107">
        <f>0.2+2.6</f>
        <v>2.8000000000000003</v>
      </c>
      <c r="G93" s="262">
        <f t="shared" si="0"/>
        <v>2.8000000000000003</v>
      </c>
      <c r="H93" s="262"/>
    </row>
    <row r="94" spans="1:8" ht="24.75" customHeight="1">
      <c r="A94" s="135"/>
      <c r="B94" s="110" t="s">
        <v>285</v>
      </c>
      <c r="C94" s="139"/>
      <c r="D94" s="107"/>
      <c r="E94" s="107"/>
      <c r="F94" s="107">
        <v>5.0999999999999996</v>
      </c>
      <c r="G94" s="262">
        <f t="shared" si="0"/>
        <v>5.0999999999999996</v>
      </c>
      <c r="H94" s="262"/>
    </row>
    <row r="95" spans="1:8" ht="24.75" customHeight="1">
      <c r="A95" s="135"/>
      <c r="B95" s="140" t="s">
        <v>251</v>
      </c>
      <c r="C95" s="139"/>
      <c r="D95" s="107"/>
      <c r="E95" s="107"/>
      <c r="F95" s="107">
        <v>288.5</v>
      </c>
      <c r="G95" s="262">
        <f t="shared" si="0"/>
        <v>288.5</v>
      </c>
      <c r="H95" s="262"/>
    </row>
    <row r="96" spans="1:8" ht="24.75" customHeight="1">
      <c r="A96" s="135"/>
      <c r="B96" s="100" t="s">
        <v>227</v>
      </c>
      <c r="C96" s="139"/>
      <c r="D96" s="107"/>
      <c r="E96" s="107"/>
      <c r="F96" s="107">
        <v>1.5</v>
      </c>
      <c r="G96" s="262">
        <f t="shared" si="0"/>
        <v>1.5</v>
      </c>
      <c r="H96" s="262"/>
    </row>
    <row r="97" spans="1:8" ht="24.75" customHeight="1">
      <c r="A97" s="135"/>
      <c r="B97" s="138" t="s">
        <v>287</v>
      </c>
      <c r="C97" s="139"/>
      <c r="D97" s="107"/>
      <c r="E97" s="107"/>
      <c r="F97" s="107">
        <v>8.4</v>
      </c>
      <c r="G97" s="262">
        <f t="shared" si="0"/>
        <v>8.4</v>
      </c>
      <c r="H97" s="262"/>
    </row>
    <row r="98" spans="1:8" ht="24.75" customHeight="1">
      <c r="A98" s="135"/>
      <c r="B98" s="100" t="s">
        <v>263</v>
      </c>
      <c r="C98" s="139"/>
      <c r="D98" s="107"/>
      <c r="E98" s="107"/>
      <c r="F98" s="107">
        <v>1.1000000000000001</v>
      </c>
      <c r="G98" s="262">
        <f t="shared" si="0"/>
        <v>1.1000000000000001</v>
      </c>
      <c r="H98" s="262"/>
    </row>
    <row r="99" spans="1:8" ht="24.75" customHeight="1">
      <c r="A99" s="135"/>
      <c r="B99" s="100" t="s">
        <v>288</v>
      </c>
      <c r="C99" s="139"/>
      <c r="D99" s="107"/>
      <c r="E99" s="107"/>
      <c r="F99" s="107">
        <v>0.9</v>
      </c>
      <c r="G99" s="262">
        <f t="shared" si="0"/>
        <v>0.9</v>
      </c>
      <c r="H99" s="262"/>
    </row>
    <row r="100" spans="1:8" ht="24.75" customHeight="1">
      <c r="A100" s="135" t="s">
        <v>169</v>
      </c>
      <c r="B100" s="227" t="s">
        <v>147</v>
      </c>
      <c r="C100" s="228">
        <v>1020</v>
      </c>
      <c r="D100" s="159">
        <f>D101+D106</f>
        <v>366.4</v>
      </c>
      <c r="E100" s="159">
        <f t="shared" ref="E100:F100" si="10">E101+E106</f>
        <v>59</v>
      </c>
      <c r="F100" s="159">
        <f t="shared" si="10"/>
        <v>0</v>
      </c>
      <c r="G100" s="263">
        <f t="shared" si="0"/>
        <v>-59</v>
      </c>
      <c r="H100" s="263">
        <f t="shared" si="1"/>
        <v>0</v>
      </c>
    </row>
    <row r="101" spans="1:8" ht="24.75" customHeight="1">
      <c r="A101" s="130" t="s">
        <v>289</v>
      </c>
      <c r="B101" s="111" t="s">
        <v>176</v>
      </c>
      <c r="C101" s="98">
        <v>1021</v>
      </c>
      <c r="D101" s="104">
        <f t="shared" ref="D101:E101" si="11">SUM(D102:D105)</f>
        <v>153.10000000000002</v>
      </c>
      <c r="E101" s="104">
        <f t="shared" si="11"/>
        <v>2.5</v>
      </c>
      <c r="F101" s="104">
        <f>SUM(F102:F105)</f>
        <v>0</v>
      </c>
      <c r="G101" s="261">
        <f t="shared" si="0"/>
        <v>-2.5</v>
      </c>
      <c r="H101" s="262"/>
    </row>
    <row r="102" spans="1:8" ht="47.25" customHeight="1">
      <c r="A102" s="141"/>
      <c r="B102" s="100" t="s">
        <v>239</v>
      </c>
      <c r="C102" s="106"/>
      <c r="D102" s="107">
        <f>12.9+32.7</f>
        <v>45.6</v>
      </c>
      <c r="E102" s="107">
        <v>2.5</v>
      </c>
      <c r="F102" s="107"/>
      <c r="G102" s="262">
        <f t="shared" si="0"/>
        <v>-2.5</v>
      </c>
      <c r="H102" s="262"/>
    </row>
    <row r="103" spans="1:8" ht="24.75" customHeight="1">
      <c r="A103" s="141"/>
      <c r="B103" s="100" t="s">
        <v>240</v>
      </c>
      <c r="C103" s="106"/>
      <c r="D103" s="107">
        <v>32.6</v>
      </c>
      <c r="E103" s="107"/>
      <c r="F103" s="107"/>
      <c r="G103" s="262">
        <f t="shared" si="0"/>
        <v>0</v>
      </c>
      <c r="H103" s="262"/>
    </row>
    <row r="104" spans="1:8" ht="41.25" customHeight="1">
      <c r="A104" s="135"/>
      <c r="B104" s="100" t="s">
        <v>281</v>
      </c>
      <c r="C104" s="106"/>
      <c r="D104" s="107">
        <v>28.6</v>
      </c>
      <c r="E104" s="107"/>
      <c r="F104" s="107"/>
      <c r="G104" s="262">
        <f t="shared" si="0"/>
        <v>0</v>
      </c>
      <c r="H104" s="262"/>
    </row>
    <row r="105" spans="1:8" ht="24.75" customHeight="1">
      <c r="A105" s="141"/>
      <c r="B105" s="100" t="s">
        <v>280</v>
      </c>
      <c r="C105" s="106"/>
      <c r="D105" s="107">
        <f>16.4+29.9</f>
        <v>46.3</v>
      </c>
      <c r="E105" s="107"/>
      <c r="F105" s="107"/>
      <c r="G105" s="263">
        <f t="shared" si="0"/>
        <v>0</v>
      </c>
      <c r="H105" s="262"/>
    </row>
    <row r="106" spans="1:8" ht="24.75" customHeight="1">
      <c r="A106" s="130" t="s">
        <v>290</v>
      </c>
      <c r="B106" s="126" t="s">
        <v>268</v>
      </c>
      <c r="C106" s="98">
        <v>1025</v>
      </c>
      <c r="D106" s="104">
        <f>SUM(D107:D117)</f>
        <v>213.29999999999998</v>
      </c>
      <c r="E106" s="104">
        <f>SUM(E107:E117)</f>
        <v>56.5</v>
      </c>
      <c r="F106" s="104">
        <f>SUM(F107:F117)</f>
        <v>0</v>
      </c>
      <c r="G106" s="261">
        <f t="shared" si="0"/>
        <v>-56.5</v>
      </c>
      <c r="H106" s="262"/>
    </row>
    <row r="107" spans="1:8" ht="24.75" customHeight="1">
      <c r="A107" s="141"/>
      <c r="B107" s="140" t="s">
        <v>251</v>
      </c>
      <c r="C107" s="106"/>
      <c r="D107" s="107">
        <v>178.9</v>
      </c>
      <c r="E107" s="107">
        <v>56.5</v>
      </c>
      <c r="F107" s="107"/>
      <c r="G107" s="262">
        <f t="shared" si="0"/>
        <v>-56.5</v>
      </c>
      <c r="H107" s="262"/>
    </row>
    <row r="108" spans="1:8" ht="24.75" customHeight="1">
      <c r="A108" s="141"/>
      <c r="B108" s="100" t="s">
        <v>291</v>
      </c>
      <c r="C108" s="106"/>
      <c r="D108" s="107">
        <f>0.8+5.7+2.8</f>
        <v>9.3000000000000007</v>
      </c>
      <c r="E108" s="107"/>
      <c r="F108" s="107"/>
      <c r="G108" s="262"/>
      <c r="H108" s="262"/>
    </row>
    <row r="109" spans="1:8" ht="24.75" customHeight="1">
      <c r="A109" s="141"/>
      <c r="B109" s="100" t="s">
        <v>227</v>
      </c>
      <c r="C109" s="106"/>
      <c r="D109" s="107">
        <v>0.4</v>
      </c>
      <c r="E109" s="107"/>
      <c r="F109" s="107"/>
      <c r="G109" s="262"/>
      <c r="H109" s="262"/>
    </row>
    <row r="110" spans="1:8" ht="33.75" customHeight="1">
      <c r="A110" s="141"/>
      <c r="B110" s="100" t="s">
        <v>271</v>
      </c>
      <c r="C110" s="106"/>
      <c r="D110" s="107">
        <f>0.5</f>
        <v>0.5</v>
      </c>
      <c r="E110" s="107"/>
      <c r="F110" s="107"/>
      <c r="G110" s="262"/>
      <c r="H110" s="262"/>
    </row>
    <row r="111" spans="1:8" ht="24.75" customHeight="1">
      <c r="A111" s="141"/>
      <c r="B111" s="100" t="s">
        <v>292</v>
      </c>
      <c r="C111" s="106"/>
      <c r="D111" s="107">
        <v>0.2</v>
      </c>
      <c r="E111" s="107"/>
      <c r="F111" s="107"/>
      <c r="G111" s="262"/>
      <c r="H111" s="262"/>
    </row>
    <row r="112" spans="1:8" ht="33.75" customHeight="1">
      <c r="A112" s="141"/>
      <c r="B112" s="100" t="s">
        <v>232</v>
      </c>
      <c r="C112" s="106"/>
      <c r="D112" s="107">
        <f>13.3+0.8</f>
        <v>14.100000000000001</v>
      </c>
      <c r="E112" s="107"/>
      <c r="F112" s="107"/>
      <c r="G112" s="262"/>
      <c r="H112" s="262"/>
    </row>
    <row r="113" spans="1:8" ht="24.75" customHeight="1">
      <c r="A113" s="141"/>
      <c r="B113" s="100" t="s">
        <v>293</v>
      </c>
      <c r="C113" s="106"/>
      <c r="D113" s="107">
        <v>0.7</v>
      </c>
      <c r="E113" s="107"/>
      <c r="F113" s="107"/>
      <c r="G113" s="262"/>
      <c r="H113" s="262"/>
    </row>
    <row r="114" spans="1:8" ht="24.75" customHeight="1">
      <c r="A114" s="141"/>
      <c r="B114" s="100" t="s">
        <v>264</v>
      </c>
      <c r="C114" s="106"/>
      <c r="D114" s="107">
        <v>2.7</v>
      </c>
      <c r="E114" s="107"/>
      <c r="F114" s="107"/>
      <c r="G114" s="262"/>
      <c r="H114" s="262"/>
    </row>
    <row r="115" spans="1:8" ht="24.75" customHeight="1">
      <c r="A115" s="141"/>
      <c r="B115" s="100" t="s">
        <v>260</v>
      </c>
      <c r="C115" s="106"/>
      <c r="D115" s="107">
        <f>4</f>
        <v>4</v>
      </c>
      <c r="E115" s="107"/>
      <c r="F115" s="107"/>
      <c r="G115" s="262"/>
      <c r="H115" s="262"/>
    </row>
    <row r="116" spans="1:8" ht="24.75" customHeight="1">
      <c r="A116" s="130"/>
      <c r="B116" s="100" t="s">
        <v>294</v>
      </c>
      <c r="C116" s="106"/>
      <c r="D116" s="107">
        <v>2.2000000000000002</v>
      </c>
      <c r="E116" s="107"/>
      <c r="F116" s="107"/>
      <c r="G116" s="262"/>
      <c r="H116" s="262"/>
    </row>
    <row r="117" spans="1:8" ht="24.75" customHeight="1">
      <c r="A117" s="135"/>
      <c r="B117" s="100" t="s">
        <v>227</v>
      </c>
      <c r="C117" s="106"/>
      <c r="D117" s="107">
        <v>0.3</v>
      </c>
      <c r="E117" s="107"/>
      <c r="F117" s="107"/>
      <c r="G117" s="262"/>
      <c r="H117" s="262"/>
    </row>
    <row r="118" spans="1:8" ht="24.75" customHeight="1">
      <c r="A118" s="135" t="s">
        <v>170</v>
      </c>
      <c r="B118" s="227" t="s">
        <v>148</v>
      </c>
      <c r="C118" s="228">
        <v>1030</v>
      </c>
      <c r="D118" s="159">
        <f>D119+D123</f>
        <v>247.09999999999997</v>
      </c>
      <c r="E118" s="159">
        <f>E119+E123</f>
        <v>746.7</v>
      </c>
      <c r="F118" s="159">
        <f>F119+F123</f>
        <v>0</v>
      </c>
      <c r="G118" s="263">
        <f t="shared" si="0"/>
        <v>-746.7</v>
      </c>
      <c r="H118" s="263">
        <f t="shared" si="1"/>
        <v>0</v>
      </c>
    </row>
    <row r="119" spans="1:8" ht="24.75" customHeight="1">
      <c r="A119" s="130" t="s">
        <v>295</v>
      </c>
      <c r="B119" s="111" t="s">
        <v>176</v>
      </c>
      <c r="C119" s="98">
        <v>1031</v>
      </c>
      <c r="D119" s="104">
        <f t="shared" ref="D119" si="12">SUM(D120:D122)</f>
        <v>172.29999999999998</v>
      </c>
      <c r="E119" s="104">
        <f>SUM(E120:E122)</f>
        <v>733.5</v>
      </c>
      <c r="F119" s="104">
        <f>SUM(F120:F122)</f>
        <v>0</v>
      </c>
      <c r="G119" s="261">
        <f t="shared" si="0"/>
        <v>-733.5</v>
      </c>
      <c r="H119" s="262"/>
    </row>
    <row r="120" spans="1:8" ht="24.75" customHeight="1">
      <c r="A120" s="141"/>
      <c r="B120" s="100" t="s">
        <v>280</v>
      </c>
      <c r="C120" s="142"/>
      <c r="D120" s="107"/>
      <c r="E120" s="107">
        <v>18.7</v>
      </c>
      <c r="F120" s="107"/>
      <c r="G120" s="262">
        <f t="shared" si="0"/>
        <v>-18.7</v>
      </c>
      <c r="H120" s="262"/>
    </row>
    <row r="121" spans="1:8" ht="24.75" customHeight="1">
      <c r="A121" s="135"/>
      <c r="B121" s="140" t="s">
        <v>214</v>
      </c>
      <c r="C121" s="106"/>
      <c r="D121" s="107">
        <v>166.1</v>
      </c>
      <c r="E121" s="107">
        <v>714.8</v>
      </c>
      <c r="F121" s="107"/>
      <c r="G121" s="262">
        <f t="shared" si="0"/>
        <v>-714.8</v>
      </c>
      <c r="H121" s="262"/>
    </row>
    <row r="122" spans="1:8" ht="24.75" customHeight="1">
      <c r="A122" s="141"/>
      <c r="B122" s="121" t="s">
        <v>296</v>
      </c>
      <c r="C122" s="142"/>
      <c r="D122" s="107">
        <v>6.2</v>
      </c>
      <c r="E122" s="107"/>
      <c r="F122" s="107"/>
      <c r="G122" s="263">
        <f t="shared" si="0"/>
        <v>0</v>
      </c>
      <c r="H122" s="262"/>
    </row>
    <row r="123" spans="1:8" ht="24.75" customHeight="1">
      <c r="A123" s="130" t="s">
        <v>297</v>
      </c>
      <c r="B123" s="128" t="s">
        <v>148</v>
      </c>
      <c r="C123" s="98">
        <v>1035</v>
      </c>
      <c r="D123" s="104">
        <f>SUM(D124:D131)</f>
        <v>74.8</v>
      </c>
      <c r="E123" s="104">
        <f>SUM(E124:E131)</f>
        <v>13.2</v>
      </c>
      <c r="F123" s="104">
        <f>SUM(F124:F131)</f>
        <v>0</v>
      </c>
      <c r="G123" s="261">
        <f t="shared" si="0"/>
        <v>-13.2</v>
      </c>
      <c r="H123" s="262"/>
    </row>
    <row r="124" spans="1:8" ht="24.75" customHeight="1">
      <c r="A124" s="141"/>
      <c r="B124" s="121" t="s">
        <v>298</v>
      </c>
      <c r="C124" s="106"/>
      <c r="D124" s="107">
        <v>59.5</v>
      </c>
      <c r="E124" s="107"/>
      <c r="F124" s="107"/>
      <c r="G124" s="263">
        <f t="shared" si="0"/>
        <v>0</v>
      </c>
      <c r="H124" s="262"/>
    </row>
    <row r="125" spans="1:8" ht="24.75" customHeight="1">
      <c r="A125" s="141"/>
      <c r="B125" s="140" t="s">
        <v>299</v>
      </c>
      <c r="C125" s="106"/>
      <c r="D125" s="107">
        <v>0.8</v>
      </c>
      <c r="E125" s="107">
        <v>2.6</v>
      </c>
      <c r="F125" s="107"/>
      <c r="G125" s="262">
        <f t="shared" si="0"/>
        <v>-2.6</v>
      </c>
      <c r="H125" s="262"/>
    </row>
    <row r="126" spans="1:8" ht="24.75" customHeight="1">
      <c r="A126" s="141"/>
      <c r="B126" s="100" t="s">
        <v>227</v>
      </c>
      <c r="C126" s="142"/>
      <c r="D126" s="107"/>
      <c r="E126" s="107">
        <v>0.4</v>
      </c>
      <c r="F126" s="107"/>
      <c r="G126" s="262">
        <f t="shared" si="0"/>
        <v>-0.4</v>
      </c>
      <c r="H126" s="262"/>
    </row>
    <row r="127" spans="1:8" ht="24.75" customHeight="1">
      <c r="A127" s="141"/>
      <c r="B127" s="100" t="s">
        <v>254</v>
      </c>
      <c r="C127" s="142"/>
      <c r="D127" s="107">
        <v>1.2</v>
      </c>
      <c r="E127" s="107"/>
      <c r="F127" s="107"/>
      <c r="G127" s="262">
        <f t="shared" si="0"/>
        <v>0</v>
      </c>
      <c r="H127" s="262"/>
    </row>
    <row r="128" spans="1:8" ht="24.75" customHeight="1">
      <c r="A128" s="141"/>
      <c r="B128" s="100" t="s">
        <v>300</v>
      </c>
      <c r="C128" s="142"/>
      <c r="D128" s="107">
        <v>10</v>
      </c>
      <c r="E128" s="107">
        <v>10.199999999999999</v>
      </c>
      <c r="F128" s="107"/>
      <c r="G128" s="262">
        <f t="shared" si="0"/>
        <v>-10.199999999999999</v>
      </c>
      <c r="H128" s="262"/>
    </row>
    <row r="129" spans="1:8" ht="24.75" customHeight="1">
      <c r="A129" s="141"/>
      <c r="B129" s="100" t="s">
        <v>263</v>
      </c>
      <c r="C129" s="142"/>
      <c r="D129" s="107">
        <v>0.1</v>
      </c>
      <c r="E129" s="107"/>
      <c r="F129" s="107"/>
      <c r="G129" s="262">
        <f t="shared" si="0"/>
        <v>0</v>
      </c>
      <c r="H129" s="262"/>
    </row>
    <row r="130" spans="1:8" ht="24.75" customHeight="1">
      <c r="A130" s="130"/>
      <c r="B130" s="121" t="s">
        <v>301</v>
      </c>
      <c r="C130" s="142"/>
      <c r="D130" s="107">
        <v>2.4</v>
      </c>
      <c r="E130" s="107"/>
      <c r="F130" s="107"/>
      <c r="G130" s="263">
        <f t="shared" si="0"/>
        <v>0</v>
      </c>
      <c r="H130" s="262"/>
    </row>
    <row r="131" spans="1:8" ht="24.75" customHeight="1">
      <c r="A131" s="133"/>
      <c r="B131" s="125" t="s">
        <v>77</v>
      </c>
      <c r="C131" s="144"/>
      <c r="D131" s="107">
        <v>0.8</v>
      </c>
      <c r="E131" s="107"/>
      <c r="F131" s="107"/>
      <c r="G131" s="263">
        <f t="shared" si="0"/>
        <v>0</v>
      </c>
      <c r="H131" s="262"/>
    </row>
    <row r="132" spans="1:8" ht="41.25" customHeight="1">
      <c r="A132" s="130" t="s">
        <v>171</v>
      </c>
      <c r="B132" s="137" t="s">
        <v>302</v>
      </c>
      <c r="C132" s="139"/>
      <c r="D132" s="55">
        <f t="shared" ref="D132:E132" si="13">D134</f>
        <v>0</v>
      </c>
      <c r="E132" s="55">
        <f t="shared" si="13"/>
        <v>0</v>
      </c>
      <c r="F132" s="55">
        <f>F134</f>
        <v>158.20000000000002</v>
      </c>
      <c r="G132" s="261">
        <f t="shared" si="0"/>
        <v>158.20000000000002</v>
      </c>
      <c r="H132" s="261"/>
    </row>
    <row r="133" spans="1:8" ht="24.75" customHeight="1">
      <c r="A133" s="133"/>
      <c r="B133" s="148" t="s">
        <v>141</v>
      </c>
      <c r="C133" s="139"/>
      <c r="D133" s="56"/>
      <c r="E133" s="56"/>
      <c r="F133" s="56"/>
      <c r="G133" s="261"/>
      <c r="H133" s="261"/>
    </row>
    <row r="134" spans="1:8" ht="24.75" customHeight="1">
      <c r="A134" s="135" t="s">
        <v>172</v>
      </c>
      <c r="B134" s="227" t="s">
        <v>145</v>
      </c>
      <c r="C134" s="120">
        <v>1010</v>
      </c>
      <c r="D134" s="159">
        <f t="shared" ref="D134:E134" si="14">D135</f>
        <v>0</v>
      </c>
      <c r="E134" s="159">
        <f t="shared" si="14"/>
        <v>0</v>
      </c>
      <c r="F134" s="159">
        <f>F135</f>
        <v>158.20000000000002</v>
      </c>
      <c r="G134" s="263">
        <f t="shared" si="0"/>
        <v>158.20000000000002</v>
      </c>
      <c r="H134" s="262"/>
    </row>
    <row r="135" spans="1:8" ht="24.75" customHeight="1">
      <c r="A135" s="96" t="s">
        <v>303</v>
      </c>
      <c r="B135" s="97" t="s">
        <v>176</v>
      </c>
      <c r="C135" s="98">
        <v>1011</v>
      </c>
      <c r="D135" s="104">
        <f t="shared" ref="D135:E135" si="15">D136+D137</f>
        <v>0</v>
      </c>
      <c r="E135" s="104">
        <f t="shared" si="15"/>
        <v>0</v>
      </c>
      <c r="F135" s="104">
        <f>F136+F137</f>
        <v>158.20000000000002</v>
      </c>
      <c r="G135" s="261">
        <f t="shared" si="0"/>
        <v>158.20000000000002</v>
      </c>
      <c r="H135" s="262"/>
    </row>
    <row r="136" spans="1:8" ht="24.75" customHeight="1">
      <c r="A136" s="112"/>
      <c r="B136" s="100" t="s">
        <v>240</v>
      </c>
      <c r="C136" s="106"/>
      <c r="D136" s="107"/>
      <c r="E136" s="107"/>
      <c r="F136" s="107">
        <v>26.8</v>
      </c>
      <c r="G136" s="262">
        <f t="shared" si="0"/>
        <v>26.8</v>
      </c>
      <c r="H136" s="262"/>
    </row>
    <row r="137" spans="1:8" ht="34.5" customHeight="1">
      <c r="A137" s="112"/>
      <c r="B137" s="100" t="s">
        <v>239</v>
      </c>
      <c r="C137" s="106"/>
      <c r="D137" s="107"/>
      <c r="E137" s="107"/>
      <c r="F137" s="107">
        <v>131.4</v>
      </c>
      <c r="G137" s="262">
        <f t="shared" si="0"/>
        <v>131.4</v>
      </c>
      <c r="H137" s="262"/>
    </row>
    <row r="138" spans="1:8" ht="24.75" customHeight="1">
      <c r="A138" s="130" t="s">
        <v>173</v>
      </c>
      <c r="B138" s="128" t="s">
        <v>304</v>
      </c>
      <c r="C138" s="163"/>
      <c r="D138" s="55">
        <f t="shared" ref="D138:E138" si="16">D140+D155+D170</f>
        <v>46323</v>
      </c>
      <c r="E138" s="55">
        <f t="shared" si="16"/>
        <v>12632.5</v>
      </c>
      <c r="F138" s="55">
        <f>F140+F155+F170</f>
        <v>12532.499999999998</v>
      </c>
      <c r="G138" s="261">
        <f t="shared" si="0"/>
        <v>-100.00000000000182</v>
      </c>
      <c r="H138" s="261">
        <f t="shared" si="1"/>
        <v>99.208391054818904</v>
      </c>
    </row>
    <row r="139" spans="1:8" ht="24.75" customHeight="1">
      <c r="A139" s="133"/>
      <c r="B139" s="148" t="s">
        <v>141</v>
      </c>
      <c r="C139" s="139"/>
      <c r="D139" s="56"/>
      <c r="E139" s="56"/>
      <c r="F139" s="56"/>
      <c r="G139" s="261"/>
      <c r="H139" s="261"/>
    </row>
    <row r="140" spans="1:8" ht="24.75" customHeight="1">
      <c r="A140" s="135" t="s">
        <v>179</v>
      </c>
      <c r="B140" s="227" t="s">
        <v>145</v>
      </c>
      <c r="C140" s="228">
        <v>1010</v>
      </c>
      <c r="D140" s="159">
        <f>D141+D149+D150+D151</f>
        <v>28732</v>
      </c>
      <c r="E140" s="159">
        <f t="shared" ref="E140:F140" si="17">E141+E149+E150+E151</f>
        <v>9254.7999999999993</v>
      </c>
      <c r="F140" s="159">
        <f t="shared" si="17"/>
        <v>11286.999999999998</v>
      </c>
      <c r="G140" s="263">
        <f t="shared" si="0"/>
        <v>2032.1999999999989</v>
      </c>
      <c r="H140" s="263">
        <f t="shared" si="1"/>
        <v>121.95833513420062</v>
      </c>
    </row>
    <row r="141" spans="1:8" ht="24.75" customHeight="1">
      <c r="A141" s="96" t="s">
        <v>305</v>
      </c>
      <c r="B141" s="111" t="s">
        <v>176</v>
      </c>
      <c r="C141" s="98">
        <v>1011</v>
      </c>
      <c r="D141" s="104">
        <f>SUM(D142:D148)</f>
        <v>0</v>
      </c>
      <c r="E141" s="104">
        <f t="shared" ref="E141:F141" si="18">SUM(E142:E148)</f>
        <v>477</v>
      </c>
      <c r="F141" s="104">
        <f t="shared" si="18"/>
        <v>732.3</v>
      </c>
      <c r="G141" s="261">
        <f t="shared" si="0"/>
        <v>255.29999999999995</v>
      </c>
      <c r="H141" s="261">
        <f t="shared" si="1"/>
        <v>153.52201257861634</v>
      </c>
    </row>
    <row r="142" spans="1:8" ht="24.75" customHeight="1">
      <c r="A142" s="112"/>
      <c r="B142" s="113" t="s">
        <v>240</v>
      </c>
      <c r="C142" s="106"/>
      <c r="D142" s="107"/>
      <c r="E142" s="109"/>
      <c r="F142" s="107">
        <v>21.7</v>
      </c>
      <c r="G142" s="262">
        <f t="shared" si="0"/>
        <v>21.7</v>
      </c>
      <c r="H142" s="263"/>
    </row>
    <row r="143" spans="1:8" ht="24.75" customHeight="1">
      <c r="A143" s="112"/>
      <c r="B143" s="113" t="s">
        <v>306</v>
      </c>
      <c r="C143" s="109"/>
      <c r="D143" s="109"/>
      <c r="E143" s="109"/>
      <c r="F143" s="107">
        <v>2.1</v>
      </c>
      <c r="G143" s="262">
        <f t="shared" si="0"/>
        <v>2.1</v>
      </c>
      <c r="H143" s="263"/>
    </row>
    <row r="144" spans="1:8" ht="24.75" customHeight="1">
      <c r="A144" s="112"/>
      <c r="B144" s="113" t="s">
        <v>214</v>
      </c>
      <c r="C144" s="109"/>
      <c r="D144" s="109"/>
      <c r="E144" s="109"/>
      <c r="F144" s="107">
        <v>74</v>
      </c>
      <c r="G144" s="262">
        <f t="shared" si="0"/>
        <v>74</v>
      </c>
      <c r="H144" s="263"/>
    </row>
    <row r="145" spans="1:8" ht="24.75" customHeight="1">
      <c r="A145" s="112"/>
      <c r="B145" s="140" t="s">
        <v>212</v>
      </c>
      <c r="C145" s="106"/>
      <c r="D145" s="107"/>
      <c r="E145" s="145">
        <v>477</v>
      </c>
      <c r="F145" s="107">
        <f>842-421.9</f>
        <v>420.1</v>
      </c>
      <c r="G145" s="262">
        <f t="shared" si="0"/>
        <v>-56.899999999999977</v>
      </c>
      <c r="H145" s="262">
        <f t="shared" si="1"/>
        <v>88.071278825995819</v>
      </c>
    </row>
    <row r="146" spans="1:8" ht="24.75" customHeight="1">
      <c r="A146" s="112"/>
      <c r="B146" s="140" t="s">
        <v>280</v>
      </c>
      <c r="C146" s="106"/>
      <c r="D146" s="107"/>
      <c r="E146" s="145"/>
      <c r="F146" s="107">
        <f>79.6+0.7</f>
        <v>80.3</v>
      </c>
      <c r="G146" s="262">
        <f t="shared" si="0"/>
        <v>80.3</v>
      </c>
      <c r="H146" s="263"/>
    </row>
    <row r="147" spans="1:8" ht="37.5" customHeight="1">
      <c r="A147" s="112"/>
      <c r="B147" s="100" t="s">
        <v>239</v>
      </c>
      <c r="C147" s="106"/>
      <c r="D147" s="107"/>
      <c r="E147" s="145"/>
      <c r="F147" s="107">
        <f>1.3+9.4</f>
        <v>10.700000000000001</v>
      </c>
      <c r="G147" s="262">
        <f t="shared" si="0"/>
        <v>10.700000000000001</v>
      </c>
      <c r="H147" s="263"/>
    </row>
    <row r="148" spans="1:8" ht="24.75" customHeight="1">
      <c r="A148" s="112"/>
      <c r="B148" s="140" t="s">
        <v>213</v>
      </c>
      <c r="C148" s="106"/>
      <c r="D148" s="107"/>
      <c r="E148" s="145"/>
      <c r="F148" s="107">
        <v>123.4</v>
      </c>
      <c r="G148" s="262">
        <f t="shared" si="0"/>
        <v>123.4</v>
      </c>
      <c r="H148" s="263"/>
    </row>
    <row r="149" spans="1:8" ht="24.75" customHeight="1">
      <c r="A149" s="96" t="s">
        <v>307</v>
      </c>
      <c r="B149" s="97" t="s">
        <v>2</v>
      </c>
      <c r="C149" s="98">
        <v>1012</v>
      </c>
      <c r="D149" s="104">
        <f>23968.5-3.1-380</f>
        <v>23585.4</v>
      </c>
      <c r="E149" s="146">
        <v>7210.2</v>
      </c>
      <c r="F149" s="104">
        <f>8554.1+59.4</f>
        <v>8613.5</v>
      </c>
      <c r="G149" s="261">
        <f t="shared" si="0"/>
        <v>1403.3000000000002</v>
      </c>
      <c r="H149" s="261">
        <f t="shared" si="1"/>
        <v>119.46270561149484</v>
      </c>
    </row>
    <row r="150" spans="1:8" ht="24.75" customHeight="1">
      <c r="A150" s="96" t="s">
        <v>308</v>
      </c>
      <c r="B150" s="97" t="s">
        <v>3</v>
      </c>
      <c r="C150" s="98">
        <v>1013</v>
      </c>
      <c r="D150" s="104">
        <f>5147.3-0.7</f>
        <v>5146.6000000000004</v>
      </c>
      <c r="E150" s="146">
        <v>1567.6</v>
      </c>
      <c r="F150" s="104">
        <f>1833.2+13.1</f>
        <v>1846.3</v>
      </c>
      <c r="G150" s="261">
        <f t="shared" si="0"/>
        <v>278.70000000000005</v>
      </c>
      <c r="H150" s="261">
        <f t="shared" si="1"/>
        <v>117.77877009441184</v>
      </c>
    </row>
    <row r="151" spans="1:8" ht="24.75" customHeight="1">
      <c r="A151" s="96" t="s">
        <v>309</v>
      </c>
      <c r="B151" s="97" t="s">
        <v>155</v>
      </c>
      <c r="C151" s="98">
        <v>1015</v>
      </c>
      <c r="D151" s="104">
        <f>SUM(D152:D154)</f>
        <v>0</v>
      </c>
      <c r="E151" s="104">
        <f>SUM(E152:E154)</f>
        <v>0</v>
      </c>
      <c r="F151" s="104">
        <f>SUM(F152:F154)</f>
        <v>94.9</v>
      </c>
      <c r="G151" s="263">
        <f t="shared" si="0"/>
        <v>94.9</v>
      </c>
      <c r="H151" s="262"/>
    </row>
    <row r="152" spans="1:8" ht="24.75" customHeight="1">
      <c r="A152" s="96"/>
      <c r="B152" s="100" t="s">
        <v>251</v>
      </c>
      <c r="C152" s="106"/>
      <c r="D152" s="107"/>
      <c r="E152" s="145"/>
      <c r="F152" s="107">
        <v>49.6</v>
      </c>
      <c r="G152" s="262">
        <f t="shared" si="0"/>
        <v>49.6</v>
      </c>
      <c r="H152" s="262"/>
    </row>
    <row r="153" spans="1:8" ht="24.75" customHeight="1">
      <c r="A153" s="96"/>
      <c r="B153" s="100" t="s">
        <v>310</v>
      </c>
      <c r="C153" s="106"/>
      <c r="D153" s="107"/>
      <c r="E153" s="145"/>
      <c r="F153" s="107">
        <v>13.7</v>
      </c>
      <c r="G153" s="262">
        <f t="shared" si="0"/>
        <v>13.7</v>
      </c>
      <c r="H153" s="262"/>
    </row>
    <row r="154" spans="1:8" ht="43.5" customHeight="1">
      <c r="A154" s="96"/>
      <c r="B154" s="100" t="s">
        <v>271</v>
      </c>
      <c r="C154" s="106"/>
      <c r="D154" s="107"/>
      <c r="E154" s="145"/>
      <c r="F154" s="107">
        <v>31.6</v>
      </c>
      <c r="G154" s="262">
        <f t="shared" si="0"/>
        <v>31.6</v>
      </c>
      <c r="H154" s="262"/>
    </row>
    <row r="155" spans="1:8" ht="24.75" customHeight="1">
      <c r="A155" s="135" t="s">
        <v>180</v>
      </c>
      <c r="B155" s="227" t="s">
        <v>147</v>
      </c>
      <c r="C155" s="228">
        <v>1020</v>
      </c>
      <c r="D155" s="159">
        <f>D156+D162+D163+D164</f>
        <v>7245.5999999999995</v>
      </c>
      <c r="E155" s="159">
        <f t="shared" ref="E155:F155" si="19">E156+E162+E163+E164</f>
        <v>1052.6000000000001</v>
      </c>
      <c r="F155" s="159">
        <f t="shared" si="19"/>
        <v>1184.3999999999999</v>
      </c>
      <c r="G155" s="263">
        <f t="shared" si="0"/>
        <v>131.79999999999973</v>
      </c>
      <c r="H155" s="263">
        <f t="shared" si="1"/>
        <v>112.5213756412692</v>
      </c>
    </row>
    <row r="156" spans="1:8" ht="24.75" customHeight="1">
      <c r="A156" s="96" t="s">
        <v>311</v>
      </c>
      <c r="B156" s="111" t="s">
        <v>176</v>
      </c>
      <c r="C156" s="98">
        <v>1021</v>
      </c>
      <c r="D156" s="104">
        <f>SUM(D157:D161)</f>
        <v>283.90000000000003</v>
      </c>
      <c r="E156" s="104">
        <f t="shared" ref="E156:F156" si="20">SUM(E157:E161)</f>
        <v>67</v>
      </c>
      <c r="F156" s="104">
        <f t="shared" si="20"/>
        <v>0</v>
      </c>
      <c r="G156" s="261">
        <f t="shared" si="0"/>
        <v>-67</v>
      </c>
      <c r="H156" s="262"/>
    </row>
    <row r="157" spans="1:8" ht="24.75" customHeight="1">
      <c r="A157" s="99"/>
      <c r="B157" s="138" t="s">
        <v>280</v>
      </c>
      <c r="C157" s="106"/>
      <c r="D157" s="107">
        <v>168</v>
      </c>
      <c r="E157" s="107">
        <v>38.9</v>
      </c>
      <c r="F157" s="107"/>
      <c r="G157" s="262">
        <f t="shared" si="0"/>
        <v>-38.9</v>
      </c>
      <c r="H157" s="262"/>
    </row>
    <row r="158" spans="1:8" ht="24.75" customHeight="1">
      <c r="A158" s="99"/>
      <c r="B158" s="100" t="s">
        <v>240</v>
      </c>
      <c r="C158" s="106"/>
      <c r="D158" s="107">
        <f>76.4-9.8-2.5</f>
        <v>64.100000000000009</v>
      </c>
      <c r="E158" s="107">
        <v>17.2</v>
      </c>
      <c r="F158" s="107"/>
      <c r="G158" s="262">
        <f t="shared" si="0"/>
        <v>-17.2</v>
      </c>
      <c r="H158" s="262"/>
    </row>
    <row r="159" spans="1:8" ht="34.5" customHeight="1">
      <c r="A159" s="99"/>
      <c r="B159" s="100" t="s">
        <v>239</v>
      </c>
      <c r="C159" s="106"/>
      <c r="D159" s="107">
        <v>38.5</v>
      </c>
      <c r="E159" s="107">
        <v>10.9</v>
      </c>
      <c r="F159" s="107"/>
      <c r="G159" s="262">
        <f t="shared" si="0"/>
        <v>-10.9</v>
      </c>
      <c r="H159" s="262"/>
    </row>
    <row r="160" spans="1:8" ht="38.25" customHeight="1">
      <c r="A160" s="99"/>
      <c r="B160" s="100" t="s">
        <v>312</v>
      </c>
      <c r="C160" s="106"/>
      <c r="D160" s="107">
        <f>2.5+1</f>
        <v>3.5</v>
      </c>
      <c r="E160" s="107"/>
      <c r="F160" s="107"/>
      <c r="G160" s="262">
        <f t="shared" si="0"/>
        <v>0</v>
      </c>
      <c r="H160" s="262"/>
    </row>
    <row r="161" spans="1:8" ht="24.75" customHeight="1">
      <c r="A161" s="99"/>
      <c r="B161" s="100" t="s">
        <v>313</v>
      </c>
      <c r="C161" s="106"/>
      <c r="D161" s="107">
        <v>9.8000000000000007</v>
      </c>
      <c r="E161" s="107"/>
      <c r="F161" s="107"/>
      <c r="G161" s="263">
        <f t="shared" si="0"/>
        <v>0</v>
      </c>
      <c r="H161" s="262"/>
    </row>
    <row r="162" spans="1:8" ht="24.75" customHeight="1">
      <c r="A162" s="96" t="s">
        <v>314</v>
      </c>
      <c r="B162" s="97" t="s">
        <v>2</v>
      </c>
      <c r="C162" s="102">
        <v>1022</v>
      </c>
      <c r="D162" s="104">
        <v>5260.5</v>
      </c>
      <c r="E162" s="104">
        <v>724.7</v>
      </c>
      <c r="F162" s="104">
        <f>986.4-41.5</f>
        <v>944.9</v>
      </c>
      <c r="G162" s="261">
        <f t="shared" si="0"/>
        <v>220.19999999999993</v>
      </c>
      <c r="H162" s="261">
        <f>F162/E162*100</f>
        <v>130.38498689112734</v>
      </c>
    </row>
    <row r="163" spans="1:8" ht="24.75" customHeight="1">
      <c r="A163" s="96" t="s">
        <v>315</v>
      </c>
      <c r="B163" s="97" t="s">
        <v>3</v>
      </c>
      <c r="C163" s="102">
        <v>1023</v>
      </c>
      <c r="D163" s="104">
        <v>1178.7</v>
      </c>
      <c r="E163" s="104">
        <v>154.19999999999999</v>
      </c>
      <c r="F163" s="104">
        <v>227.7</v>
      </c>
      <c r="G163" s="261">
        <f t="shared" si="0"/>
        <v>73.5</v>
      </c>
      <c r="H163" s="261">
        <f t="shared" ref="H163:H169" si="21">F163/E163*100</f>
        <v>147.66536964980546</v>
      </c>
    </row>
    <row r="164" spans="1:8" ht="24.75" customHeight="1">
      <c r="A164" s="96" t="s">
        <v>316</v>
      </c>
      <c r="B164" s="126" t="s">
        <v>268</v>
      </c>
      <c r="C164" s="98">
        <v>1025</v>
      </c>
      <c r="D164" s="104">
        <f>SUM(D165:D169)</f>
        <v>522.5</v>
      </c>
      <c r="E164" s="104">
        <f t="shared" ref="E164:F164" si="22">SUM(E165:E169)</f>
        <v>106.7</v>
      </c>
      <c r="F164" s="104">
        <f t="shared" si="22"/>
        <v>11.8</v>
      </c>
      <c r="G164" s="261">
        <f t="shared" si="0"/>
        <v>-94.9</v>
      </c>
      <c r="H164" s="261">
        <f t="shared" si="21"/>
        <v>11.059044048734771</v>
      </c>
    </row>
    <row r="165" spans="1:8" ht="24.75" customHeight="1">
      <c r="A165" s="99"/>
      <c r="B165" s="100" t="s">
        <v>227</v>
      </c>
      <c r="C165" s="106"/>
      <c r="D165" s="107">
        <v>20.6</v>
      </c>
      <c r="E165" s="107">
        <v>5.5</v>
      </c>
      <c r="F165" s="107">
        <v>5.5</v>
      </c>
      <c r="G165" s="263">
        <f t="shared" si="0"/>
        <v>0</v>
      </c>
      <c r="H165" s="262">
        <f t="shared" si="21"/>
        <v>100</v>
      </c>
    </row>
    <row r="166" spans="1:8" ht="24.75" customHeight="1">
      <c r="A166" s="99"/>
      <c r="B166" s="125" t="s">
        <v>317</v>
      </c>
      <c r="C166" s="106"/>
      <c r="D166" s="107">
        <v>71.099999999999994</v>
      </c>
      <c r="E166" s="107">
        <v>18.8</v>
      </c>
      <c r="F166" s="107"/>
      <c r="G166" s="262">
        <f t="shared" si="0"/>
        <v>-18.8</v>
      </c>
      <c r="H166" s="262">
        <f t="shared" si="21"/>
        <v>0</v>
      </c>
    </row>
    <row r="167" spans="1:8" ht="45.75" customHeight="1">
      <c r="A167" s="99"/>
      <c r="B167" s="100" t="s">
        <v>271</v>
      </c>
      <c r="C167" s="106"/>
      <c r="D167" s="107">
        <v>407.3</v>
      </c>
      <c r="E167" s="107">
        <v>76.099999999999994</v>
      </c>
      <c r="F167" s="107"/>
      <c r="G167" s="262">
        <f t="shared" si="0"/>
        <v>-76.099999999999994</v>
      </c>
      <c r="H167" s="262">
        <f t="shared" si="21"/>
        <v>0</v>
      </c>
    </row>
    <row r="168" spans="1:8" ht="24.75" customHeight="1">
      <c r="A168" s="96"/>
      <c r="B168" s="100" t="s">
        <v>233</v>
      </c>
      <c r="C168" s="106"/>
      <c r="D168" s="107">
        <v>3.4</v>
      </c>
      <c r="E168" s="107">
        <v>0.9</v>
      </c>
      <c r="F168" s="107">
        <v>0.9</v>
      </c>
      <c r="G168" s="263">
        <f t="shared" si="0"/>
        <v>0</v>
      </c>
      <c r="H168" s="262">
        <f t="shared" si="21"/>
        <v>100</v>
      </c>
    </row>
    <row r="169" spans="1:8" ht="38.25" customHeight="1">
      <c r="A169" s="112"/>
      <c r="B169" s="100" t="s">
        <v>232</v>
      </c>
      <c r="C169" s="106"/>
      <c r="D169" s="107">
        <v>20.100000000000001</v>
      </c>
      <c r="E169" s="107">
        <v>5.4</v>
      </c>
      <c r="F169" s="107">
        <v>5.4</v>
      </c>
      <c r="G169" s="263">
        <f t="shared" si="0"/>
        <v>0</v>
      </c>
      <c r="H169" s="262">
        <f t="shared" si="21"/>
        <v>100</v>
      </c>
    </row>
    <row r="170" spans="1:8" ht="24.75" customHeight="1">
      <c r="A170" s="135" t="s">
        <v>181</v>
      </c>
      <c r="B170" s="227" t="s">
        <v>148</v>
      </c>
      <c r="C170" s="228">
        <v>1030</v>
      </c>
      <c r="D170" s="159">
        <f>D171+D176+D177+D178</f>
        <v>10345.4</v>
      </c>
      <c r="E170" s="159">
        <f t="shared" ref="E170:F170" si="23">E171+E176+E177+E178</f>
        <v>2325.1</v>
      </c>
      <c r="F170" s="159">
        <f t="shared" si="23"/>
        <v>61.1</v>
      </c>
      <c r="G170" s="263">
        <f t="shared" si="0"/>
        <v>-2264</v>
      </c>
      <c r="H170" s="263">
        <f t="shared" si="1"/>
        <v>2.6278439637004865</v>
      </c>
    </row>
    <row r="171" spans="1:8" ht="24.75" customHeight="1">
      <c r="A171" s="96" t="s">
        <v>318</v>
      </c>
      <c r="B171" s="111" t="s">
        <v>176</v>
      </c>
      <c r="C171" s="98">
        <v>1031</v>
      </c>
      <c r="D171" s="104">
        <f>SUM(D172:D175)</f>
        <v>2520.3000000000002</v>
      </c>
      <c r="E171" s="104">
        <f t="shared" ref="E171:F171" si="24">SUM(E172:E175)</f>
        <v>188.3</v>
      </c>
      <c r="F171" s="104">
        <f t="shared" si="24"/>
        <v>0</v>
      </c>
      <c r="G171" s="261">
        <f t="shared" si="0"/>
        <v>-188.3</v>
      </c>
      <c r="H171" s="262"/>
    </row>
    <row r="172" spans="1:8" ht="24.75" customHeight="1">
      <c r="A172" s="99"/>
      <c r="B172" s="140" t="s">
        <v>214</v>
      </c>
      <c r="C172" s="106"/>
      <c r="D172" s="107">
        <v>361.9</v>
      </c>
      <c r="E172" s="107">
        <v>50</v>
      </c>
      <c r="F172" s="107"/>
      <c r="G172" s="262">
        <f t="shared" si="0"/>
        <v>-50</v>
      </c>
      <c r="H172" s="262"/>
    </row>
    <row r="173" spans="1:8" ht="24.75" customHeight="1">
      <c r="A173" s="99"/>
      <c r="B173" s="140" t="s">
        <v>213</v>
      </c>
      <c r="C173" s="106"/>
      <c r="D173" s="107">
        <v>354</v>
      </c>
      <c r="E173" s="107">
        <v>130</v>
      </c>
      <c r="F173" s="107"/>
      <c r="G173" s="262">
        <f t="shared" si="0"/>
        <v>-130</v>
      </c>
      <c r="H173" s="262"/>
    </row>
    <row r="174" spans="1:8" ht="24.75" customHeight="1">
      <c r="A174" s="99"/>
      <c r="B174" s="125" t="s">
        <v>280</v>
      </c>
      <c r="C174" s="101"/>
      <c r="D174" s="107"/>
      <c r="E174" s="107">
        <v>8.3000000000000007</v>
      </c>
      <c r="F174" s="107"/>
      <c r="G174" s="262">
        <f t="shared" si="0"/>
        <v>-8.3000000000000007</v>
      </c>
      <c r="H174" s="262"/>
    </row>
    <row r="175" spans="1:8" ht="24.75" customHeight="1">
      <c r="A175" s="99"/>
      <c r="B175" s="147" t="s">
        <v>319</v>
      </c>
      <c r="C175" s="101"/>
      <c r="D175" s="107">
        <f>1805.4-1</f>
        <v>1804.4</v>
      </c>
      <c r="E175" s="107"/>
      <c r="F175" s="107"/>
      <c r="G175" s="263">
        <f t="shared" si="0"/>
        <v>0</v>
      </c>
      <c r="H175" s="262"/>
    </row>
    <row r="176" spans="1:8" ht="24.75" customHeight="1">
      <c r="A176" s="96" t="s">
        <v>320</v>
      </c>
      <c r="B176" s="97" t="s">
        <v>2</v>
      </c>
      <c r="C176" s="102">
        <v>1032</v>
      </c>
      <c r="D176" s="104">
        <v>6370.7</v>
      </c>
      <c r="E176" s="104">
        <v>1657.5</v>
      </c>
      <c r="F176" s="104">
        <v>41.5</v>
      </c>
      <c r="G176" s="261">
        <f>F176-E176</f>
        <v>-1616</v>
      </c>
      <c r="H176" s="261">
        <f>F176/E176*100</f>
        <v>2.5037707390648567</v>
      </c>
    </row>
    <row r="177" spans="1:8" ht="24.75" customHeight="1">
      <c r="A177" s="96" t="s">
        <v>321</v>
      </c>
      <c r="B177" s="97" t="s">
        <v>3</v>
      </c>
      <c r="C177" s="102">
        <v>1033</v>
      </c>
      <c r="D177" s="104">
        <v>1371.1</v>
      </c>
      <c r="E177" s="104">
        <v>359.7</v>
      </c>
      <c r="F177" s="104"/>
      <c r="G177" s="261">
        <f>F177-E177</f>
        <v>-359.7</v>
      </c>
      <c r="H177" s="262"/>
    </row>
    <row r="178" spans="1:8" ht="24.75" customHeight="1">
      <c r="A178" s="96" t="s">
        <v>322</v>
      </c>
      <c r="B178" s="128" t="s">
        <v>148</v>
      </c>
      <c r="C178" s="102">
        <v>1035</v>
      </c>
      <c r="D178" s="104">
        <f>D179</f>
        <v>83.3</v>
      </c>
      <c r="E178" s="104">
        <f>SUM(F178:I178)</f>
        <v>119.6</v>
      </c>
      <c r="F178" s="104">
        <f>F179</f>
        <v>19.600000000000001</v>
      </c>
      <c r="G178" s="262"/>
      <c r="H178" s="261">
        <v>100</v>
      </c>
    </row>
    <row r="179" spans="1:8" ht="24.75" customHeight="1">
      <c r="A179" s="96"/>
      <c r="B179" s="125" t="s">
        <v>237</v>
      </c>
      <c r="C179" s="101"/>
      <c r="D179" s="107">
        <v>83.3</v>
      </c>
      <c r="E179" s="107">
        <v>19.600000000000001</v>
      </c>
      <c r="F179" s="107">
        <v>19.600000000000001</v>
      </c>
      <c r="G179" s="262">
        <f t="shared" si="0"/>
        <v>0</v>
      </c>
      <c r="H179" s="262">
        <f t="shared" si="1"/>
        <v>100</v>
      </c>
    </row>
    <row r="180" spans="1:8" ht="36" customHeight="1">
      <c r="A180" s="130" t="s">
        <v>174</v>
      </c>
      <c r="B180" s="137" t="s">
        <v>323</v>
      </c>
      <c r="C180" s="163"/>
      <c r="D180" s="55">
        <f t="shared" ref="D180:E180" si="25">D182</f>
        <v>0</v>
      </c>
      <c r="E180" s="55">
        <f t="shared" si="25"/>
        <v>0</v>
      </c>
      <c r="F180" s="55">
        <f>F182</f>
        <v>421.9</v>
      </c>
      <c r="G180" s="261">
        <f t="shared" si="0"/>
        <v>421.9</v>
      </c>
      <c r="H180" s="261"/>
    </row>
    <row r="181" spans="1:8" ht="24.75" customHeight="1">
      <c r="A181" s="133"/>
      <c r="B181" s="148" t="s">
        <v>141</v>
      </c>
      <c r="C181" s="139"/>
      <c r="D181" s="56"/>
      <c r="E181" s="56"/>
      <c r="F181" s="56"/>
      <c r="G181" s="261"/>
      <c r="H181" s="261"/>
    </row>
    <row r="182" spans="1:8" ht="24.75" customHeight="1">
      <c r="A182" s="135" t="s">
        <v>175</v>
      </c>
      <c r="B182" s="227" t="s">
        <v>145</v>
      </c>
      <c r="C182" s="228">
        <v>1010</v>
      </c>
      <c r="D182" s="159">
        <f t="shared" ref="D182:E182" si="26">D183</f>
        <v>0</v>
      </c>
      <c r="E182" s="159">
        <f t="shared" si="26"/>
        <v>0</v>
      </c>
      <c r="F182" s="159">
        <f>F183</f>
        <v>421.9</v>
      </c>
      <c r="G182" s="263">
        <f t="shared" si="0"/>
        <v>421.9</v>
      </c>
      <c r="H182" s="263"/>
    </row>
    <row r="183" spans="1:8" ht="24.75" customHeight="1">
      <c r="A183" s="96" t="s">
        <v>324</v>
      </c>
      <c r="B183" s="111" t="s">
        <v>176</v>
      </c>
      <c r="C183" s="98">
        <v>1011</v>
      </c>
      <c r="D183" s="104">
        <f t="shared" ref="D183:F183" si="27">SUM(D184)</f>
        <v>0</v>
      </c>
      <c r="E183" s="104">
        <f t="shared" si="27"/>
        <v>0</v>
      </c>
      <c r="F183" s="104">
        <f t="shared" si="27"/>
        <v>421.9</v>
      </c>
      <c r="G183" s="261">
        <f t="shared" si="0"/>
        <v>421.9</v>
      </c>
      <c r="H183" s="262"/>
    </row>
    <row r="184" spans="1:8" ht="24.75" customHeight="1">
      <c r="A184" s="96"/>
      <c r="B184" s="140" t="s">
        <v>212</v>
      </c>
      <c r="C184" s="101"/>
      <c r="D184" s="107"/>
      <c r="E184" s="107"/>
      <c r="F184" s="107">
        <v>421.9</v>
      </c>
      <c r="G184" s="262">
        <f t="shared" ref="G184:G192" si="28">F184-E184</f>
        <v>421.9</v>
      </c>
      <c r="H184" s="262"/>
    </row>
    <row r="185" spans="1:8" ht="39.75" customHeight="1">
      <c r="A185" s="96" t="s">
        <v>325</v>
      </c>
      <c r="B185" s="240" t="s">
        <v>622</v>
      </c>
      <c r="C185" s="102"/>
      <c r="D185" s="104">
        <f>SUM(D188)</f>
        <v>380</v>
      </c>
      <c r="E185" s="104">
        <f t="shared" ref="E185" si="29">SUM(E188)</f>
        <v>0</v>
      </c>
      <c r="F185" s="104">
        <f>F187</f>
        <v>27.299999999999997</v>
      </c>
      <c r="G185" s="261">
        <f t="shared" si="28"/>
        <v>27.299999999999997</v>
      </c>
      <c r="H185" s="262"/>
    </row>
    <row r="186" spans="1:8" ht="24.75" customHeight="1">
      <c r="A186" s="96"/>
      <c r="B186" s="148" t="s">
        <v>141</v>
      </c>
      <c r="C186" s="102"/>
      <c r="D186" s="104"/>
      <c r="E186" s="104"/>
      <c r="F186" s="104"/>
      <c r="G186" s="263">
        <f t="shared" si="28"/>
        <v>0</v>
      </c>
      <c r="H186" s="262"/>
    </row>
    <row r="187" spans="1:8" ht="24.75" customHeight="1">
      <c r="A187" s="112" t="s">
        <v>326</v>
      </c>
      <c r="B187" s="226" t="s">
        <v>145</v>
      </c>
      <c r="C187" s="225">
        <v>1010</v>
      </c>
      <c r="D187" s="115">
        <f>SUM(D188:D189)</f>
        <v>380</v>
      </c>
      <c r="E187" s="115">
        <f t="shared" ref="E187:F187" si="30">SUM(E188:E189)</f>
        <v>0</v>
      </c>
      <c r="F187" s="115">
        <f t="shared" si="30"/>
        <v>27.299999999999997</v>
      </c>
      <c r="G187" s="263">
        <f t="shared" si="28"/>
        <v>27.299999999999997</v>
      </c>
      <c r="H187" s="262"/>
    </row>
    <row r="188" spans="1:8" ht="24.75" customHeight="1">
      <c r="A188" s="96" t="s">
        <v>327</v>
      </c>
      <c r="B188" s="118" t="s">
        <v>2</v>
      </c>
      <c r="C188" s="102">
        <v>1012</v>
      </c>
      <c r="D188" s="104">
        <v>380</v>
      </c>
      <c r="E188" s="104"/>
      <c r="F188" s="104">
        <v>22.4</v>
      </c>
      <c r="G188" s="261">
        <f t="shared" si="28"/>
        <v>22.4</v>
      </c>
      <c r="H188" s="262"/>
    </row>
    <row r="189" spans="1:8" ht="24.75" customHeight="1">
      <c r="A189" s="96" t="s">
        <v>328</v>
      </c>
      <c r="B189" s="118" t="s">
        <v>3</v>
      </c>
      <c r="C189" s="102">
        <v>1013</v>
      </c>
      <c r="D189" s="104"/>
      <c r="E189" s="104"/>
      <c r="F189" s="104">
        <v>4.9000000000000004</v>
      </c>
      <c r="G189" s="261">
        <f t="shared" si="28"/>
        <v>4.9000000000000004</v>
      </c>
      <c r="H189" s="262"/>
    </row>
    <row r="190" spans="1:8" ht="24.75" customHeight="1">
      <c r="A190" s="96" t="s">
        <v>329</v>
      </c>
      <c r="B190" s="97" t="s">
        <v>330</v>
      </c>
      <c r="C190" s="98"/>
      <c r="D190" s="104">
        <f>D192+D213+D225</f>
        <v>7611.1</v>
      </c>
      <c r="E190" s="104">
        <f>E192+E213+E225</f>
        <v>8917.1</v>
      </c>
      <c r="F190" s="104">
        <f>F192+F213+F225</f>
        <v>11755.900000000001</v>
      </c>
      <c r="G190" s="261">
        <f t="shared" si="28"/>
        <v>2838.8000000000011</v>
      </c>
      <c r="H190" s="261">
        <f>F190/E190*100</f>
        <v>131.83546220183692</v>
      </c>
    </row>
    <row r="191" spans="1:8" ht="24.75" customHeight="1">
      <c r="A191" s="96"/>
      <c r="B191" s="149" t="s">
        <v>141</v>
      </c>
      <c r="C191" s="106"/>
      <c r="D191" s="107"/>
      <c r="E191" s="107"/>
      <c r="F191" s="107"/>
      <c r="G191" s="263">
        <f t="shared" si="28"/>
        <v>0</v>
      </c>
      <c r="H191" s="262"/>
    </row>
    <row r="192" spans="1:8" ht="37.5" customHeight="1">
      <c r="A192" s="112" t="s">
        <v>331</v>
      </c>
      <c r="B192" s="186" t="s">
        <v>145</v>
      </c>
      <c r="C192" s="114">
        <v>1010</v>
      </c>
      <c r="D192" s="115">
        <f>SUM(D193,D202,D203,D204)</f>
        <v>0</v>
      </c>
      <c r="E192" s="115">
        <f t="shared" ref="E192:F192" si="31">SUM(E193,E202,E203,E204)</f>
        <v>3808.5</v>
      </c>
      <c r="F192" s="115">
        <f t="shared" si="31"/>
        <v>11730.300000000001</v>
      </c>
      <c r="G192" s="263">
        <f t="shared" si="28"/>
        <v>7921.8000000000011</v>
      </c>
      <c r="H192" s="263">
        <f t="shared" ref="H192:H199" si="32">F192/E192*100</f>
        <v>308.00315084679011</v>
      </c>
    </row>
    <row r="193" spans="1:8" ht="24.75" customHeight="1">
      <c r="A193" s="96" t="s">
        <v>332</v>
      </c>
      <c r="B193" s="111" t="s">
        <v>176</v>
      </c>
      <c r="C193" s="98">
        <v>1011</v>
      </c>
      <c r="D193" s="104">
        <f>SUM(D194:D201)</f>
        <v>0</v>
      </c>
      <c r="E193" s="104">
        <f t="shared" ref="E193:F193" si="33">SUM(E194:E201)</f>
        <v>3808.5</v>
      </c>
      <c r="F193" s="104">
        <f t="shared" si="33"/>
        <v>4645.3</v>
      </c>
      <c r="G193" s="261">
        <f>F193-E193</f>
        <v>836.80000000000018</v>
      </c>
      <c r="H193" s="261">
        <f t="shared" si="32"/>
        <v>121.97190494945518</v>
      </c>
    </row>
    <row r="194" spans="1:8" ht="32.25" customHeight="1">
      <c r="A194" s="99"/>
      <c r="B194" s="100" t="s">
        <v>333</v>
      </c>
      <c r="C194" s="106"/>
      <c r="D194" s="110"/>
      <c r="E194" s="107">
        <v>274</v>
      </c>
      <c r="F194" s="110">
        <v>225</v>
      </c>
      <c r="G194" s="262">
        <f t="shared" ref="G194:G257" si="34">F194-E194</f>
        <v>-49</v>
      </c>
      <c r="H194" s="262">
        <f t="shared" si="32"/>
        <v>82.116788321167888</v>
      </c>
    </row>
    <row r="195" spans="1:8" ht="24.75" customHeight="1">
      <c r="A195" s="99"/>
      <c r="B195" s="100" t="s">
        <v>334</v>
      </c>
      <c r="C195" s="106"/>
      <c r="D195" s="110"/>
      <c r="E195" s="107">
        <v>3162.4</v>
      </c>
      <c r="F195" s="150">
        <v>2660</v>
      </c>
      <c r="G195" s="262">
        <f t="shared" si="34"/>
        <v>-502.40000000000009</v>
      </c>
      <c r="H195" s="262">
        <f t="shared" si="32"/>
        <v>84.113331646850483</v>
      </c>
    </row>
    <row r="196" spans="1:8" ht="24.75" customHeight="1">
      <c r="A196" s="99"/>
      <c r="B196" s="100" t="s">
        <v>335</v>
      </c>
      <c r="C196" s="106"/>
      <c r="D196" s="110"/>
      <c r="E196" s="107"/>
      <c r="F196" s="150">
        <v>1412</v>
      </c>
      <c r="G196" s="262">
        <f t="shared" si="34"/>
        <v>1412</v>
      </c>
      <c r="H196" s="262"/>
    </row>
    <row r="197" spans="1:8" ht="24.75" customHeight="1">
      <c r="A197" s="99"/>
      <c r="B197" s="100" t="s">
        <v>336</v>
      </c>
      <c r="C197" s="106"/>
      <c r="D197" s="110"/>
      <c r="E197" s="107"/>
      <c r="F197" s="110">
        <v>32.4</v>
      </c>
      <c r="G197" s="262">
        <f t="shared" si="34"/>
        <v>32.4</v>
      </c>
      <c r="H197" s="262"/>
    </row>
    <row r="198" spans="1:8" ht="24.75" customHeight="1">
      <c r="A198" s="99"/>
      <c r="B198" s="100" t="s">
        <v>337</v>
      </c>
      <c r="C198" s="106"/>
      <c r="D198" s="110"/>
      <c r="E198" s="107">
        <v>129.4</v>
      </c>
      <c r="F198" s="110">
        <v>115.6</v>
      </c>
      <c r="G198" s="262">
        <f t="shared" si="34"/>
        <v>-13.800000000000011</v>
      </c>
      <c r="H198" s="262">
        <f t="shared" si="32"/>
        <v>89.335394126738791</v>
      </c>
    </row>
    <row r="199" spans="1:8" ht="24.75" customHeight="1">
      <c r="A199" s="99"/>
      <c r="B199" s="100" t="s">
        <v>338</v>
      </c>
      <c r="C199" s="106"/>
      <c r="D199" s="110"/>
      <c r="E199" s="107">
        <v>242.7</v>
      </c>
      <c r="F199" s="110">
        <v>151.1</v>
      </c>
      <c r="G199" s="262">
        <f t="shared" si="34"/>
        <v>-91.6</v>
      </c>
      <c r="H199" s="262">
        <f t="shared" si="32"/>
        <v>62.257931602801811</v>
      </c>
    </row>
    <row r="200" spans="1:8" ht="24.75" customHeight="1">
      <c r="A200" s="99"/>
      <c r="B200" s="100" t="s">
        <v>213</v>
      </c>
      <c r="C200" s="106"/>
      <c r="D200" s="110"/>
      <c r="E200" s="107"/>
      <c r="F200" s="110">
        <v>47.5</v>
      </c>
      <c r="G200" s="262">
        <f t="shared" si="34"/>
        <v>47.5</v>
      </c>
      <c r="H200" s="262"/>
    </row>
    <row r="201" spans="1:8" ht="33.75" customHeight="1">
      <c r="A201" s="99"/>
      <c r="B201" s="100" t="s">
        <v>239</v>
      </c>
      <c r="C201" s="106"/>
      <c r="D201" s="110"/>
      <c r="E201" s="107"/>
      <c r="F201" s="110">
        <v>1.7</v>
      </c>
      <c r="G201" s="262">
        <f t="shared" si="34"/>
        <v>1.7</v>
      </c>
      <c r="H201" s="262"/>
    </row>
    <row r="202" spans="1:8" ht="24.75" customHeight="1">
      <c r="A202" s="96" t="s">
        <v>339</v>
      </c>
      <c r="B202" s="97" t="s">
        <v>2</v>
      </c>
      <c r="C202" s="102">
        <v>1012</v>
      </c>
      <c r="D202" s="109"/>
      <c r="E202" s="104"/>
      <c r="F202" s="109">
        <v>2799.9</v>
      </c>
      <c r="G202" s="261">
        <f t="shared" si="34"/>
        <v>2799.9</v>
      </c>
      <c r="H202" s="262"/>
    </row>
    <row r="203" spans="1:8" ht="24.75" customHeight="1">
      <c r="A203" s="96" t="s">
        <v>340</v>
      </c>
      <c r="B203" s="97" t="s">
        <v>3</v>
      </c>
      <c r="C203" s="102">
        <v>1013</v>
      </c>
      <c r="D203" s="109"/>
      <c r="E203" s="104"/>
      <c r="F203" s="109">
        <v>575.29999999999995</v>
      </c>
      <c r="G203" s="261">
        <f t="shared" si="34"/>
        <v>575.29999999999995</v>
      </c>
      <c r="H203" s="262"/>
    </row>
    <row r="204" spans="1:8" ht="24.75" customHeight="1">
      <c r="A204" s="96" t="s">
        <v>341</v>
      </c>
      <c r="B204" s="119" t="s">
        <v>155</v>
      </c>
      <c r="C204" s="120">
        <v>1015</v>
      </c>
      <c r="D204" s="129">
        <f>SUM(D205:D212)</f>
        <v>0</v>
      </c>
      <c r="E204" s="129">
        <f>SUM(E205:E212)</f>
        <v>0</v>
      </c>
      <c r="F204" s="108">
        <f>SUM(F205:F212)</f>
        <v>3709.7999999999997</v>
      </c>
      <c r="G204" s="261">
        <f t="shared" si="34"/>
        <v>3709.7999999999997</v>
      </c>
      <c r="H204" s="262"/>
    </row>
    <row r="205" spans="1:8" ht="24.75" customHeight="1">
      <c r="A205" s="99"/>
      <c r="B205" s="103" t="s">
        <v>342</v>
      </c>
      <c r="C205" s="119"/>
      <c r="D205" s="110"/>
      <c r="E205" s="107"/>
      <c r="F205" s="110">
        <v>305.8</v>
      </c>
      <c r="G205" s="262">
        <f t="shared" si="34"/>
        <v>305.8</v>
      </c>
      <c r="H205" s="262"/>
    </row>
    <row r="206" spans="1:8" ht="37.5" customHeight="1">
      <c r="A206" s="99"/>
      <c r="B206" s="103" t="s">
        <v>271</v>
      </c>
      <c r="C206" s="119"/>
      <c r="D206" s="110"/>
      <c r="E206" s="107"/>
      <c r="F206" s="110">
        <v>150</v>
      </c>
      <c r="G206" s="262">
        <f t="shared" si="34"/>
        <v>150</v>
      </c>
      <c r="H206" s="262"/>
    </row>
    <row r="207" spans="1:8" ht="24.75" customHeight="1">
      <c r="A207" s="99"/>
      <c r="B207" s="103" t="s">
        <v>343</v>
      </c>
      <c r="C207" s="119"/>
      <c r="D207" s="110"/>
      <c r="E207" s="107"/>
      <c r="F207" s="110">
        <v>119.3</v>
      </c>
      <c r="G207" s="262">
        <f t="shared" si="34"/>
        <v>119.3</v>
      </c>
      <c r="H207" s="262"/>
    </row>
    <row r="208" spans="1:8" ht="24.75" customHeight="1">
      <c r="A208" s="96"/>
      <c r="B208" s="103" t="s">
        <v>344</v>
      </c>
      <c r="C208" s="119"/>
      <c r="D208" s="110"/>
      <c r="E208" s="107"/>
      <c r="F208" s="110">
        <v>190</v>
      </c>
      <c r="G208" s="262">
        <f t="shared" si="34"/>
        <v>190</v>
      </c>
      <c r="H208" s="262"/>
    </row>
    <row r="209" spans="1:8" ht="24.75" customHeight="1">
      <c r="A209" s="96"/>
      <c r="B209" s="103" t="s">
        <v>260</v>
      </c>
      <c r="C209" s="119"/>
      <c r="D209" s="110"/>
      <c r="E209" s="107"/>
      <c r="F209" s="110">
        <f>1598.3</f>
        <v>1598.3</v>
      </c>
      <c r="G209" s="262">
        <f t="shared" si="34"/>
        <v>1598.3</v>
      </c>
      <c r="H209" s="262"/>
    </row>
    <row r="210" spans="1:8" ht="24.75" customHeight="1">
      <c r="A210" s="96"/>
      <c r="B210" s="103" t="s">
        <v>261</v>
      </c>
      <c r="C210" s="119"/>
      <c r="D210" s="110"/>
      <c r="E210" s="107"/>
      <c r="F210" s="110">
        <v>317.10000000000002</v>
      </c>
      <c r="G210" s="262">
        <f t="shared" si="34"/>
        <v>317.10000000000002</v>
      </c>
      <c r="H210" s="262"/>
    </row>
    <row r="211" spans="1:8" ht="24.75" customHeight="1">
      <c r="A211" s="96"/>
      <c r="B211" s="103" t="s">
        <v>345</v>
      </c>
      <c r="C211" s="119"/>
      <c r="D211" s="110"/>
      <c r="E211" s="107"/>
      <c r="F211" s="110">
        <v>917.1</v>
      </c>
      <c r="G211" s="262">
        <f t="shared" si="34"/>
        <v>917.1</v>
      </c>
      <c r="H211" s="262"/>
    </row>
    <row r="212" spans="1:8" ht="24.75" customHeight="1">
      <c r="A212" s="96"/>
      <c r="B212" s="103" t="s">
        <v>263</v>
      </c>
      <c r="C212" s="119"/>
      <c r="D212" s="110"/>
      <c r="E212" s="107"/>
      <c r="F212" s="110">
        <v>112.2</v>
      </c>
      <c r="G212" s="262">
        <f t="shared" si="34"/>
        <v>112.2</v>
      </c>
      <c r="H212" s="262"/>
    </row>
    <row r="213" spans="1:8" ht="24.75" customHeight="1">
      <c r="A213" s="112" t="s">
        <v>346</v>
      </c>
      <c r="B213" s="223" t="s">
        <v>147</v>
      </c>
      <c r="C213" s="114">
        <v>1020</v>
      </c>
      <c r="D213" s="115">
        <f>SUM(D214,D217)</f>
        <v>5041.7000000000007</v>
      </c>
      <c r="E213" s="115">
        <f t="shared" ref="E213:F213" si="35">SUM(E214,E217)</f>
        <v>4366.3</v>
      </c>
      <c r="F213" s="115">
        <f t="shared" si="35"/>
        <v>0</v>
      </c>
      <c r="G213" s="263">
        <f t="shared" si="34"/>
        <v>-4366.3</v>
      </c>
      <c r="H213" s="262"/>
    </row>
    <row r="214" spans="1:8" ht="24.75" customHeight="1">
      <c r="A214" s="96" t="s">
        <v>347</v>
      </c>
      <c r="B214" s="126" t="s">
        <v>176</v>
      </c>
      <c r="C214" s="98">
        <v>1021</v>
      </c>
      <c r="D214" s="104">
        <f>D215+D216</f>
        <v>326.09999999999997</v>
      </c>
      <c r="E214" s="104">
        <f>E215</f>
        <v>0</v>
      </c>
      <c r="F214" s="104">
        <f>F215+F216</f>
        <v>0</v>
      </c>
      <c r="G214" s="262">
        <f t="shared" si="34"/>
        <v>0</v>
      </c>
      <c r="H214" s="262"/>
    </row>
    <row r="215" spans="1:8" ht="32.25" customHeight="1">
      <c r="A215" s="112"/>
      <c r="B215" s="100" t="s">
        <v>239</v>
      </c>
      <c r="C215" s="106"/>
      <c r="D215" s="107">
        <v>0.3</v>
      </c>
      <c r="E215" s="107"/>
      <c r="F215" s="107"/>
      <c r="G215" s="262">
        <f t="shared" si="34"/>
        <v>0</v>
      </c>
      <c r="H215" s="262"/>
    </row>
    <row r="216" spans="1:8" ht="24.75" customHeight="1">
      <c r="A216" s="99"/>
      <c r="B216" s="100" t="s">
        <v>348</v>
      </c>
      <c r="C216" s="106"/>
      <c r="D216" s="107">
        <f>315.5+0.3+9.2+0.9-0.1</f>
        <v>325.79999999999995</v>
      </c>
      <c r="E216" s="107"/>
      <c r="F216" s="107"/>
      <c r="G216" s="262">
        <f t="shared" si="34"/>
        <v>0</v>
      </c>
      <c r="H216" s="262"/>
    </row>
    <row r="217" spans="1:8" ht="24.75" customHeight="1">
      <c r="A217" s="96" t="s">
        <v>349</v>
      </c>
      <c r="B217" s="126" t="s">
        <v>268</v>
      </c>
      <c r="C217" s="98">
        <v>1025</v>
      </c>
      <c r="D217" s="104">
        <f>SUM(D218:D224)</f>
        <v>4715.6000000000004</v>
      </c>
      <c r="E217" s="104">
        <f t="shared" ref="E217:F217" si="36">SUM(E218:E224)</f>
        <v>4366.3</v>
      </c>
      <c r="F217" s="104">
        <f t="shared" si="36"/>
        <v>0</v>
      </c>
      <c r="G217" s="261">
        <f t="shared" si="34"/>
        <v>-4366.3</v>
      </c>
      <c r="H217" s="262"/>
    </row>
    <row r="218" spans="1:8" ht="24.75" customHeight="1">
      <c r="A218" s="99"/>
      <c r="B218" s="125" t="s">
        <v>251</v>
      </c>
      <c r="C218" s="106"/>
      <c r="D218" s="107">
        <v>300</v>
      </c>
      <c r="E218" s="107"/>
      <c r="F218" s="107"/>
      <c r="G218" s="262">
        <f t="shared" si="34"/>
        <v>0</v>
      </c>
      <c r="H218" s="262"/>
    </row>
    <row r="219" spans="1:8" ht="34.5" customHeight="1">
      <c r="A219" s="99"/>
      <c r="B219" s="100" t="s">
        <v>271</v>
      </c>
      <c r="C219" s="106"/>
      <c r="D219" s="107">
        <v>155.5</v>
      </c>
      <c r="E219" s="107"/>
      <c r="F219" s="107"/>
      <c r="G219" s="262">
        <f t="shared" si="34"/>
        <v>0</v>
      </c>
      <c r="H219" s="262"/>
    </row>
    <row r="220" spans="1:8" ht="24.75" customHeight="1">
      <c r="A220" s="99"/>
      <c r="B220" s="123" t="s">
        <v>260</v>
      </c>
      <c r="C220" s="106"/>
      <c r="D220" s="107">
        <v>2404.9</v>
      </c>
      <c r="E220" s="107">
        <v>2586.1999999999998</v>
      </c>
      <c r="F220" s="107"/>
      <c r="G220" s="262">
        <f t="shared" si="34"/>
        <v>-2586.1999999999998</v>
      </c>
      <c r="H220" s="262"/>
    </row>
    <row r="221" spans="1:8" ht="24.75" customHeight="1">
      <c r="A221" s="99"/>
      <c r="B221" s="123" t="s">
        <v>261</v>
      </c>
      <c r="C221" s="106"/>
      <c r="D221" s="107">
        <v>294.5</v>
      </c>
      <c r="E221" s="107">
        <v>319</v>
      </c>
      <c r="F221" s="107"/>
      <c r="G221" s="262">
        <f t="shared" si="34"/>
        <v>-319</v>
      </c>
      <c r="H221" s="262"/>
    </row>
    <row r="222" spans="1:8" ht="24.75" customHeight="1">
      <c r="A222" s="99"/>
      <c r="B222" s="123" t="s">
        <v>262</v>
      </c>
      <c r="C222" s="106"/>
      <c r="D222" s="107">
        <v>1094.3</v>
      </c>
      <c r="E222" s="107">
        <v>1360</v>
      </c>
      <c r="F222" s="107"/>
      <c r="G222" s="262">
        <f t="shared" si="34"/>
        <v>-1360</v>
      </c>
      <c r="H222" s="262"/>
    </row>
    <row r="223" spans="1:8" ht="24.75" customHeight="1">
      <c r="A223" s="96"/>
      <c r="B223" s="123" t="s">
        <v>350</v>
      </c>
      <c r="C223" s="106"/>
      <c r="D223" s="107">
        <v>104.6</v>
      </c>
      <c r="E223" s="107">
        <v>101.1</v>
      </c>
      <c r="F223" s="107"/>
      <c r="G223" s="262">
        <f t="shared" si="34"/>
        <v>-101.1</v>
      </c>
      <c r="H223" s="262"/>
    </row>
    <row r="224" spans="1:8" ht="24.75" customHeight="1">
      <c r="A224" s="112"/>
      <c r="B224" s="125" t="s">
        <v>351</v>
      </c>
      <c r="C224" s="106"/>
      <c r="D224" s="107">
        <f>361.8</f>
        <v>361.8</v>
      </c>
      <c r="E224" s="107"/>
      <c r="F224" s="107"/>
      <c r="G224" s="262">
        <f t="shared" si="34"/>
        <v>0</v>
      </c>
      <c r="H224" s="262"/>
    </row>
    <row r="225" spans="1:8" ht="24.75" customHeight="1">
      <c r="A225" s="112" t="s">
        <v>352</v>
      </c>
      <c r="B225" s="224" t="s">
        <v>148</v>
      </c>
      <c r="C225" s="114">
        <v>1030</v>
      </c>
      <c r="D225" s="115">
        <f>SUM(D226,D233)</f>
        <v>2569.4</v>
      </c>
      <c r="E225" s="115">
        <f t="shared" ref="E225:F225" si="37">SUM(E226,E233)</f>
        <v>742.30000000000007</v>
      </c>
      <c r="F225" s="115">
        <f t="shared" si="37"/>
        <v>25.6</v>
      </c>
      <c r="G225" s="263">
        <f t="shared" si="34"/>
        <v>-716.7</v>
      </c>
      <c r="H225" s="262"/>
    </row>
    <row r="226" spans="1:8" ht="24.75" customHeight="1">
      <c r="A226" s="96" t="s">
        <v>353</v>
      </c>
      <c r="B226" s="111" t="s">
        <v>176</v>
      </c>
      <c r="C226" s="98">
        <v>1031</v>
      </c>
      <c r="D226" s="104">
        <f>SUM(D227:D232)</f>
        <v>2426.2000000000003</v>
      </c>
      <c r="E226" s="104">
        <f t="shared" ref="E226:F226" si="38">SUM(E227:E232)</f>
        <v>266.8</v>
      </c>
      <c r="F226" s="104">
        <f t="shared" si="38"/>
        <v>25.6</v>
      </c>
      <c r="G226" s="261">
        <f t="shared" si="34"/>
        <v>-241.20000000000002</v>
      </c>
      <c r="H226" s="262"/>
    </row>
    <row r="227" spans="1:8" ht="24.75" customHeight="1">
      <c r="A227" s="99"/>
      <c r="B227" s="113" t="s">
        <v>354</v>
      </c>
      <c r="C227" s="98"/>
      <c r="D227" s="104"/>
      <c r="E227" s="104"/>
      <c r="F227" s="107">
        <v>25.6</v>
      </c>
      <c r="G227" s="262">
        <f t="shared" si="34"/>
        <v>25.6</v>
      </c>
      <c r="H227" s="262"/>
    </row>
    <row r="228" spans="1:8" ht="24.75" customHeight="1">
      <c r="A228" s="99"/>
      <c r="B228" s="125" t="s">
        <v>213</v>
      </c>
      <c r="C228" s="106"/>
      <c r="D228" s="107">
        <v>97.5</v>
      </c>
      <c r="E228" s="107"/>
      <c r="F228" s="107"/>
      <c r="G228" s="262">
        <f t="shared" si="34"/>
        <v>0</v>
      </c>
      <c r="H228" s="262"/>
    </row>
    <row r="229" spans="1:8" ht="24.75" customHeight="1">
      <c r="A229" s="99"/>
      <c r="B229" s="113" t="s">
        <v>355</v>
      </c>
      <c r="C229" s="106"/>
      <c r="D229" s="107">
        <v>138.80000000000001</v>
      </c>
      <c r="E229" s="107"/>
      <c r="F229" s="107"/>
      <c r="G229" s="262">
        <f t="shared" si="34"/>
        <v>0</v>
      </c>
      <c r="H229" s="262"/>
    </row>
    <row r="230" spans="1:8" ht="24.75" customHeight="1">
      <c r="A230" s="99"/>
      <c r="B230" s="123" t="s">
        <v>334</v>
      </c>
      <c r="C230" s="106"/>
      <c r="D230" s="107">
        <v>2065.6</v>
      </c>
      <c r="E230" s="107"/>
      <c r="F230" s="107"/>
      <c r="G230" s="262">
        <f t="shared" si="34"/>
        <v>0</v>
      </c>
      <c r="H230" s="262"/>
    </row>
    <row r="231" spans="1:8" ht="24.75" customHeight="1">
      <c r="A231" s="112"/>
      <c r="B231" s="123" t="s">
        <v>337</v>
      </c>
      <c r="C231" s="106"/>
      <c r="D231" s="107">
        <v>124.3</v>
      </c>
      <c r="E231" s="107"/>
      <c r="F231" s="107"/>
      <c r="G231" s="262">
        <f t="shared" si="34"/>
        <v>0</v>
      </c>
      <c r="H231" s="262"/>
    </row>
    <row r="232" spans="1:8" ht="24.75" customHeight="1">
      <c r="A232" s="99"/>
      <c r="B232" s="125" t="s">
        <v>351</v>
      </c>
      <c r="C232" s="106"/>
      <c r="D232" s="107"/>
      <c r="E232" s="107">
        <v>266.8</v>
      </c>
      <c r="F232" s="107"/>
      <c r="G232" s="262">
        <f t="shared" si="34"/>
        <v>-266.8</v>
      </c>
      <c r="H232" s="262"/>
    </row>
    <row r="233" spans="1:8" ht="24.75" customHeight="1">
      <c r="A233" s="96" t="s">
        <v>356</v>
      </c>
      <c r="B233" s="128" t="s">
        <v>148</v>
      </c>
      <c r="C233" s="98">
        <v>1035</v>
      </c>
      <c r="D233" s="104">
        <f>SUM(D234:D238)</f>
        <v>143.19999999999999</v>
      </c>
      <c r="E233" s="104">
        <f t="shared" ref="E233:F233" si="39">SUM(E234:E238)</f>
        <v>475.50000000000006</v>
      </c>
      <c r="F233" s="104">
        <f t="shared" si="39"/>
        <v>0</v>
      </c>
      <c r="G233" s="261">
        <f t="shared" si="34"/>
        <v>-475.50000000000006</v>
      </c>
      <c r="H233" s="262"/>
    </row>
    <row r="234" spans="1:8" ht="24.75" customHeight="1">
      <c r="A234" s="99"/>
      <c r="B234" s="125" t="s">
        <v>351</v>
      </c>
      <c r="C234" s="101"/>
      <c r="D234" s="150"/>
      <c r="E234" s="107">
        <v>305.8</v>
      </c>
      <c r="F234" s="110"/>
      <c r="G234" s="262">
        <f t="shared" si="34"/>
        <v>-305.8</v>
      </c>
      <c r="H234" s="262"/>
    </row>
    <row r="235" spans="1:8" ht="24.75" customHeight="1">
      <c r="A235" s="99"/>
      <c r="B235" s="123" t="s">
        <v>260</v>
      </c>
      <c r="C235" s="106"/>
      <c r="D235" s="151">
        <v>77.599999999999994</v>
      </c>
      <c r="E235" s="107">
        <v>78.8</v>
      </c>
      <c r="F235" s="152"/>
      <c r="G235" s="262">
        <f t="shared" si="34"/>
        <v>-78.8</v>
      </c>
      <c r="H235" s="262"/>
    </row>
    <row r="236" spans="1:8" ht="24.75" customHeight="1">
      <c r="A236" s="127"/>
      <c r="B236" s="123" t="s">
        <v>261</v>
      </c>
      <c r="C236" s="106"/>
      <c r="D236" s="151">
        <v>3.6</v>
      </c>
      <c r="E236" s="107">
        <v>5.0999999999999996</v>
      </c>
      <c r="F236" s="152"/>
      <c r="G236" s="262">
        <f t="shared" si="34"/>
        <v>-5.0999999999999996</v>
      </c>
      <c r="H236" s="262"/>
    </row>
    <row r="237" spans="1:8" ht="24.75" customHeight="1">
      <c r="A237" s="130"/>
      <c r="B237" s="123" t="s">
        <v>262</v>
      </c>
      <c r="C237" s="106"/>
      <c r="D237" s="151">
        <v>62</v>
      </c>
      <c r="E237" s="107">
        <v>85.6</v>
      </c>
      <c r="F237" s="152"/>
      <c r="G237" s="262">
        <f t="shared" si="34"/>
        <v>-85.6</v>
      </c>
      <c r="H237" s="262"/>
    </row>
    <row r="238" spans="1:8" ht="24.75" customHeight="1">
      <c r="A238" s="141"/>
      <c r="B238" s="100" t="s">
        <v>350</v>
      </c>
      <c r="C238" s="106"/>
      <c r="D238" s="153"/>
      <c r="E238" s="107">
        <v>0.2</v>
      </c>
      <c r="F238" s="154"/>
      <c r="G238" s="262">
        <f t="shared" si="34"/>
        <v>-0.2</v>
      </c>
      <c r="H238" s="262"/>
    </row>
    <row r="239" spans="1:8" ht="45" customHeight="1">
      <c r="A239" s="130" t="s">
        <v>357</v>
      </c>
      <c r="B239" s="97" t="s">
        <v>623</v>
      </c>
      <c r="C239" s="120"/>
      <c r="D239" s="55">
        <f>D241+D264</f>
        <v>1013.3</v>
      </c>
      <c r="E239" s="55">
        <f>SUM(E241,E264)</f>
        <v>1029</v>
      </c>
      <c r="F239" s="55">
        <f>F241</f>
        <v>0</v>
      </c>
      <c r="G239" s="261">
        <f t="shared" si="34"/>
        <v>-1029</v>
      </c>
      <c r="H239" s="262"/>
    </row>
    <row r="240" spans="1:8" ht="24.75" customHeight="1">
      <c r="A240" s="141"/>
      <c r="B240" s="148" t="s">
        <v>141</v>
      </c>
      <c r="C240" s="106"/>
      <c r="D240" s="107"/>
      <c r="E240" s="104">
        <f t="shared" ref="E240" si="40">SUM(F240:I240)</f>
        <v>0</v>
      </c>
      <c r="F240" s="107"/>
      <c r="G240" s="262"/>
      <c r="H240" s="262"/>
    </row>
    <row r="241" spans="1:8" ht="24.75" customHeight="1">
      <c r="A241" s="135" t="s">
        <v>358</v>
      </c>
      <c r="B241" s="227" t="s">
        <v>147</v>
      </c>
      <c r="C241" s="114">
        <v>1020</v>
      </c>
      <c r="D241" s="115">
        <f>SUM(D242,D247)</f>
        <v>859.09999999999991</v>
      </c>
      <c r="E241" s="115">
        <f t="shared" ref="E241:F241" si="41">SUM(E242,E247)</f>
        <v>993.2</v>
      </c>
      <c r="F241" s="115">
        <f t="shared" si="41"/>
        <v>0</v>
      </c>
      <c r="G241" s="263">
        <f t="shared" si="34"/>
        <v>-993.2</v>
      </c>
      <c r="H241" s="262"/>
    </row>
    <row r="242" spans="1:8" ht="24.75" customHeight="1">
      <c r="A242" s="130" t="s">
        <v>359</v>
      </c>
      <c r="B242" s="111" t="s">
        <v>176</v>
      </c>
      <c r="C242" s="98">
        <v>1021</v>
      </c>
      <c r="D242" s="104">
        <f t="shared" ref="D242:E242" si="42">SUM(D243:D246)</f>
        <v>270.10000000000002</v>
      </c>
      <c r="E242" s="104">
        <f t="shared" si="42"/>
        <v>615.5</v>
      </c>
      <c r="F242" s="104">
        <f>SUM(F243:F246)</f>
        <v>0</v>
      </c>
      <c r="G242" s="261">
        <f t="shared" si="34"/>
        <v>-615.5</v>
      </c>
      <c r="H242" s="262"/>
    </row>
    <row r="243" spans="1:8" ht="24.75" customHeight="1">
      <c r="A243" s="141"/>
      <c r="B243" s="100" t="s">
        <v>280</v>
      </c>
      <c r="C243" s="142"/>
      <c r="D243" s="107"/>
      <c r="E243" s="107">
        <v>118</v>
      </c>
      <c r="F243" s="107"/>
      <c r="G243" s="262">
        <f t="shared" si="34"/>
        <v>-118</v>
      </c>
      <c r="H243" s="262"/>
    </row>
    <row r="244" spans="1:8" ht="24.75" customHeight="1">
      <c r="A244" s="141"/>
      <c r="B244" s="100" t="s">
        <v>240</v>
      </c>
      <c r="C244" s="142"/>
      <c r="D244" s="107">
        <v>28.4</v>
      </c>
      <c r="E244" s="107">
        <v>28</v>
      </c>
      <c r="F244" s="107"/>
      <c r="G244" s="262">
        <f t="shared" si="34"/>
        <v>-28</v>
      </c>
      <c r="H244" s="262"/>
    </row>
    <row r="245" spans="1:8" ht="36" customHeight="1">
      <c r="A245" s="130"/>
      <c r="B245" s="100" t="s">
        <v>239</v>
      </c>
      <c r="C245" s="142"/>
      <c r="D245" s="107">
        <f>33.5+190.9-8.8</f>
        <v>215.6</v>
      </c>
      <c r="E245" s="107">
        <v>203.5</v>
      </c>
      <c r="F245" s="107"/>
      <c r="G245" s="262">
        <f t="shared" si="34"/>
        <v>-203.5</v>
      </c>
      <c r="H245" s="262"/>
    </row>
    <row r="246" spans="1:8" ht="34.5" customHeight="1">
      <c r="A246" s="130"/>
      <c r="B246" s="100" t="s">
        <v>360</v>
      </c>
      <c r="C246" s="142"/>
      <c r="D246" s="107">
        <f>9.3+16.8</f>
        <v>26.1</v>
      </c>
      <c r="E246" s="107">
        <v>266</v>
      </c>
      <c r="F246" s="107"/>
      <c r="G246" s="262">
        <f t="shared" si="34"/>
        <v>-266</v>
      </c>
      <c r="H246" s="262"/>
    </row>
    <row r="247" spans="1:8" ht="24.75" customHeight="1">
      <c r="A247" s="130" t="s">
        <v>361</v>
      </c>
      <c r="B247" s="126" t="s">
        <v>268</v>
      </c>
      <c r="C247" s="155">
        <v>1025</v>
      </c>
      <c r="D247" s="104">
        <f>SUM(D248:D263)</f>
        <v>588.99999999999989</v>
      </c>
      <c r="E247" s="104">
        <f t="shared" ref="E247:F247" si="43">SUM(E248:E263)</f>
        <v>377.7</v>
      </c>
      <c r="F247" s="104">
        <f t="shared" si="43"/>
        <v>0</v>
      </c>
      <c r="G247" s="261">
        <f t="shared" si="34"/>
        <v>-377.7</v>
      </c>
      <c r="H247" s="262"/>
    </row>
    <row r="248" spans="1:8" ht="24.75" customHeight="1">
      <c r="A248" s="141"/>
      <c r="B248" s="100" t="s">
        <v>291</v>
      </c>
      <c r="C248" s="142"/>
      <c r="D248" s="107"/>
      <c r="E248" s="107">
        <v>8.6999999999999993</v>
      </c>
      <c r="F248" s="107"/>
      <c r="G248" s="262">
        <f t="shared" si="34"/>
        <v>-8.6999999999999993</v>
      </c>
      <c r="H248" s="262"/>
    </row>
    <row r="249" spans="1:8" ht="24.75" customHeight="1">
      <c r="A249" s="141"/>
      <c r="B249" s="100" t="s">
        <v>227</v>
      </c>
      <c r="C249" s="142"/>
      <c r="D249" s="107">
        <v>0.1</v>
      </c>
      <c r="E249" s="107">
        <v>16.8</v>
      </c>
      <c r="F249" s="107"/>
      <c r="G249" s="262">
        <f t="shared" si="34"/>
        <v>-16.8</v>
      </c>
      <c r="H249" s="262"/>
    </row>
    <row r="250" spans="1:8" ht="24.75" customHeight="1">
      <c r="A250" s="141"/>
      <c r="B250" s="125" t="s">
        <v>317</v>
      </c>
      <c r="C250" s="142"/>
      <c r="D250" s="107"/>
      <c r="E250" s="107">
        <v>43.5</v>
      </c>
      <c r="F250" s="107"/>
      <c r="G250" s="262">
        <f t="shared" si="34"/>
        <v>-43.5</v>
      </c>
      <c r="H250" s="262"/>
    </row>
    <row r="251" spans="1:8" ht="24.75" customHeight="1">
      <c r="A251" s="141"/>
      <c r="B251" s="125" t="s">
        <v>251</v>
      </c>
      <c r="C251" s="142"/>
      <c r="D251" s="107">
        <f>261+145+8.8</f>
        <v>414.8</v>
      </c>
      <c r="E251" s="107">
        <v>175.8</v>
      </c>
      <c r="F251" s="107"/>
      <c r="G251" s="262">
        <f t="shared" si="34"/>
        <v>-175.8</v>
      </c>
      <c r="H251" s="262"/>
    </row>
    <row r="252" spans="1:8" ht="36.75" customHeight="1">
      <c r="A252" s="141"/>
      <c r="B252" s="100" t="s">
        <v>271</v>
      </c>
      <c r="C252" s="142"/>
      <c r="D252" s="107">
        <f>3+72.5+2.1+1.5+15+0.3+4.4</f>
        <v>98.8</v>
      </c>
      <c r="E252" s="107">
        <v>81</v>
      </c>
      <c r="F252" s="107"/>
      <c r="G252" s="262">
        <f t="shared" si="34"/>
        <v>-81</v>
      </c>
      <c r="H252" s="262"/>
    </row>
    <row r="253" spans="1:8" ht="24.75" customHeight="1">
      <c r="A253" s="141"/>
      <c r="B253" s="100" t="s">
        <v>233</v>
      </c>
      <c r="C253" s="142"/>
      <c r="D253" s="107"/>
      <c r="E253" s="107">
        <v>2.8</v>
      </c>
      <c r="F253" s="107"/>
      <c r="G253" s="262">
        <f t="shared" si="34"/>
        <v>-2.8</v>
      </c>
      <c r="H253" s="262"/>
    </row>
    <row r="254" spans="1:8" ht="24.75" customHeight="1">
      <c r="A254" s="141"/>
      <c r="B254" s="100" t="s">
        <v>232</v>
      </c>
      <c r="C254" s="142"/>
      <c r="D254" s="107">
        <f>2.3+7.5</f>
        <v>9.8000000000000007</v>
      </c>
      <c r="E254" s="107">
        <v>22.4</v>
      </c>
      <c r="F254" s="107"/>
      <c r="G254" s="262">
        <f t="shared" si="34"/>
        <v>-22.4</v>
      </c>
      <c r="H254" s="262"/>
    </row>
    <row r="255" spans="1:8" ht="24.75" customHeight="1">
      <c r="A255" s="141"/>
      <c r="B255" s="100" t="s">
        <v>293</v>
      </c>
      <c r="C255" s="142"/>
      <c r="D255" s="107">
        <f>0.4+19</f>
        <v>19.399999999999999</v>
      </c>
      <c r="E255" s="107">
        <v>22.2</v>
      </c>
      <c r="F255" s="56"/>
      <c r="G255" s="262">
        <f t="shared" si="34"/>
        <v>-22.2</v>
      </c>
      <c r="H255" s="262"/>
    </row>
    <row r="256" spans="1:8" ht="24.75" customHeight="1">
      <c r="A256" s="141"/>
      <c r="B256" s="100" t="s">
        <v>264</v>
      </c>
      <c r="C256" s="142"/>
      <c r="D256" s="107">
        <v>1.8</v>
      </c>
      <c r="E256" s="107">
        <v>4.5</v>
      </c>
      <c r="F256" s="107"/>
      <c r="G256" s="262">
        <f t="shared" si="34"/>
        <v>-4.5</v>
      </c>
      <c r="H256" s="262"/>
    </row>
    <row r="257" spans="1:8" ht="24.75" customHeight="1">
      <c r="A257" s="141"/>
      <c r="B257" s="100" t="s">
        <v>292</v>
      </c>
      <c r="C257" s="142"/>
      <c r="D257" s="107">
        <v>22.6</v>
      </c>
      <c r="E257" s="107"/>
      <c r="F257" s="107"/>
      <c r="G257" s="262">
        <f t="shared" si="34"/>
        <v>0</v>
      </c>
      <c r="H257" s="262"/>
    </row>
    <row r="258" spans="1:8" ht="24.75" customHeight="1">
      <c r="A258" s="130"/>
      <c r="B258" s="121" t="s">
        <v>294</v>
      </c>
      <c r="C258" s="142"/>
      <c r="D258" s="107">
        <v>0.7</v>
      </c>
      <c r="E258" s="107"/>
      <c r="F258" s="107"/>
      <c r="G258" s="261">
        <f t="shared" ref="G258:G302" si="44">F258-E258</f>
        <v>0</v>
      </c>
      <c r="H258" s="262"/>
    </row>
    <row r="259" spans="1:8" ht="24.75" customHeight="1">
      <c r="A259" s="135"/>
      <c r="B259" s="100" t="s">
        <v>362</v>
      </c>
      <c r="C259" s="142"/>
      <c r="D259" s="107">
        <v>6.6</v>
      </c>
      <c r="E259" s="107"/>
      <c r="F259" s="107"/>
      <c r="G259" s="261">
        <f t="shared" si="44"/>
        <v>0</v>
      </c>
      <c r="H259" s="262"/>
    </row>
    <row r="260" spans="1:8" ht="24.75" customHeight="1">
      <c r="A260" s="135"/>
      <c r="B260" s="100" t="s">
        <v>260</v>
      </c>
      <c r="C260" s="142"/>
      <c r="D260" s="107">
        <v>1.3</v>
      </c>
      <c r="E260" s="107"/>
      <c r="F260" s="107"/>
      <c r="G260" s="261">
        <f t="shared" si="44"/>
        <v>0</v>
      </c>
      <c r="H260" s="262"/>
    </row>
    <row r="261" spans="1:8" ht="24.75" customHeight="1">
      <c r="A261" s="135"/>
      <c r="B261" s="100" t="s">
        <v>261</v>
      </c>
      <c r="C261" s="142"/>
      <c r="D261" s="107">
        <v>5.4</v>
      </c>
      <c r="E261" s="107"/>
      <c r="F261" s="107"/>
      <c r="G261" s="261">
        <f t="shared" si="44"/>
        <v>0</v>
      </c>
      <c r="H261" s="262"/>
    </row>
    <row r="262" spans="1:8" ht="24.75" customHeight="1">
      <c r="A262" s="135"/>
      <c r="B262" s="100" t="s">
        <v>262</v>
      </c>
      <c r="C262" s="142"/>
      <c r="D262" s="107">
        <v>5.3</v>
      </c>
      <c r="E262" s="107"/>
      <c r="F262" s="107"/>
      <c r="G262" s="261">
        <f t="shared" si="44"/>
        <v>0</v>
      </c>
      <c r="H262" s="262"/>
    </row>
    <row r="263" spans="1:8" ht="24.75" customHeight="1">
      <c r="A263" s="135"/>
      <c r="B263" s="100" t="s">
        <v>363</v>
      </c>
      <c r="C263" s="142"/>
      <c r="D263" s="107">
        <v>2.4</v>
      </c>
      <c r="E263" s="107"/>
      <c r="F263" s="107"/>
      <c r="G263" s="261">
        <f t="shared" si="44"/>
        <v>0</v>
      </c>
      <c r="H263" s="262"/>
    </row>
    <row r="264" spans="1:8" ht="24.75" customHeight="1">
      <c r="A264" s="135" t="s">
        <v>364</v>
      </c>
      <c r="B264" s="227" t="s">
        <v>148</v>
      </c>
      <c r="C264" s="225">
        <v>1030</v>
      </c>
      <c r="D264" s="115">
        <f>SUM(D265,D269)</f>
        <v>154.19999999999999</v>
      </c>
      <c r="E264" s="115">
        <f t="shared" ref="E264:F264" si="45">SUM(E265,E269)</f>
        <v>35.800000000000004</v>
      </c>
      <c r="F264" s="115">
        <f t="shared" si="45"/>
        <v>0</v>
      </c>
      <c r="G264" s="263">
        <f t="shared" si="44"/>
        <v>-35.800000000000004</v>
      </c>
      <c r="H264" s="262"/>
    </row>
    <row r="265" spans="1:8" ht="24.75" customHeight="1">
      <c r="A265" s="130" t="s">
        <v>365</v>
      </c>
      <c r="B265" s="111" t="s">
        <v>176</v>
      </c>
      <c r="C265" s="102">
        <v>1031</v>
      </c>
      <c r="D265" s="104">
        <f t="shared" ref="D265:F265" si="46">SUM(D266:D268)</f>
        <v>50.4</v>
      </c>
      <c r="E265" s="104">
        <f t="shared" si="46"/>
        <v>35.200000000000003</v>
      </c>
      <c r="F265" s="104">
        <f t="shared" si="46"/>
        <v>0</v>
      </c>
      <c r="G265" s="261">
        <f t="shared" si="44"/>
        <v>-35.200000000000003</v>
      </c>
      <c r="H265" s="262"/>
    </row>
    <row r="266" spans="1:8" ht="24.75" customHeight="1">
      <c r="A266" s="156"/>
      <c r="B266" s="125" t="s">
        <v>214</v>
      </c>
      <c r="C266" s="101"/>
      <c r="D266" s="107"/>
      <c r="E266" s="107">
        <v>22.2</v>
      </c>
      <c r="F266" s="107"/>
      <c r="G266" s="262">
        <f t="shared" si="44"/>
        <v>-22.2</v>
      </c>
      <c r="H266" s="262"/>
    </row>
    <row r="267" spans="1:8" ht="24.75" customHeight="1">
      <c r="A267" s="156"/>
      <c r="B267" s="100" t="s">
        <v>280</v>
      </c>
      <c r="C267" s="101"/>
      <c r="D267" s="107"/>
      <c r="E267" s="107">
        <v>13</v>
      </c>
      <c r="F267" s="107"/>
      <c r="G267" s="262">
        <f t="shared" si="44"/>
        <v>-13</v>
      </c>
      <c r="H267" s="262"/>
    </row>
    <row r="268" spans="1:8" ht="24.75" customHeight="1">
      <c r="A268" s="143"/>
      <c r="B268" s="100" t="s">
        <v>213</v>
      </c>
      <c r="C268" s="142"/>
      <c r="D268" s="107">
        <v>50.4</v>
      </c>
      <c r="E268" s="107"/>
      <c r="F268" s="107"/>
      <c r="G268" s="261">
        <f t="shared" si="44"/>
        <v>0</v>
      </c>
      <c r="H268" s="262"/>
    </row>
    <row r="269" spans="1:8" ht="24.75" customHeight="1">
      <c r="A269" s="96" t="s">
        <v>366</v>
      </c>
      <c r="B269" s="128" t="s">
        <v>148</v>
      </c>
      <c r="C269" s="155">
        <v>1035</v>
      </c>
      <c r="D269" s="104">
        <f t="shared" ref="D269:F269" si="47">SUM(D270:D272)</f>
        <v>103.8</v>
      </c>
      <c r="E269" s="104">
        <f t="shared" si="47"/>
        <v>0.6</v>
      </c>
      <c r="F269" s="104">
        <f t="shared" si="47"/>
        <v>0</v>
      </c>
      <c r="G269" s="261">
        <f t="shared" si="44"/>
        <v>-0.6</v>
      </c>
      <c r="H269" s="262"/>
    </row>
    <row r="270" spans="1:8" ht="24.75" customHeight="1">
      <c r="A270" s="156"/>
      <c r="B270" s="100" t="s">
        <v>367</v>
      </c>
      <c r="C270" s="142"/>
      <c r="D270" s="107"/>
      <c r="E270" s="107">
        <v>0.6</v>
      </c>
      <c r="F270" s="107"/>
      <c r="G270" s="262">
        <f t="shared" si="44"/>
        <v>-0.6</v>
      </c>
      <c r="H270" s="262"/>
    </row>
    <row r="271" spans="1:8" ht="24.75" customHeight="1">
      <c r="A271" s="156"/>
      <c r="B271" s="100" t="s">
        <v>251</v>
      </c>
      <c r="C271" s="142"/>
      <c r="D271" s="107">
        <v>90.8</v>
      </c>
      <c r="E271" s="107"/>
      <c r="F271" s="107"/>
      <c r="G271" s="261">
        <f t="shared" si="44"/>
        <v>0</v>
      </c>
      <c r="H271" s="262"/>
    </row>
    <row r="272" spans="1:8" ht="24.75" customHeight="1">
      <c r="A272" s="141"/>
      <c r="B272" s="100" t="s">
        <v>298</v>
      </c>
      <c r="C272" s="142"/>
      <c r="D272" s="107">
        <v>13</v>
      </c>
      <c r="E272" s="107"/>
      <c r="F272" s="107"/>
      <c r="G272" s="261">
        <f t="shared" si="44"/>
        <v>0</v>
      </c>
      <c r="H272" s="262"/>
    </row>
    <row r="273" spans="1:8" ht="39.75" customHeight="1">
      <c r="A273" s="130" t="s">
        <v>368</v>
      </c>
      <c r="B273" s="137" t="s">
        <v>369</v>
      </c>
      <c r="C273" s="102"/>
      <c r="D273" s="104">
        <f t="shared" ref="D273:F273" si="48">D275</f>
        <v>9.3000000000000007</v>
      </c>
      <c r="E273" s="104">
        <f t="shared" si="48"/>
        <v>9.2999999999999989</v>
      </c>
      <c r="F273" s="104">
        <f t="shared" si="48"/>
        <v>1.8</v>
      </c>
      <c r="G273" s="261">
        <f t="shared" si="44"/>
        <v>-7.4999999999999991</v>
      </c>
      <c r="H273" s="262">
        <f>F273/E273*100</f>
        <v>19.35483870967742</v>
      </c>
    </row>
    <row r="274" spans="1:8" ht="24.75" customHeight="1">
      <c r="A274" s="133"/>
      <c r="B274" s="148" t="s">
        <v>141</v>
      </c>
      <c r="C274" s="106"/>
      <c r="D274" s="107"/>
      <c r="E274" s="107"/>
      <c r="F274" s="107"/>
      <c r="G274" s="261">
        <f t="shared" si="44"/>
        <v>0</v>
      </c>
      <c r="H274" s="262"/>
    </row>
    <row r="275" spans="1:8" ht="24.75" customHeight="1">
      <c r="A275" s="135" t="s">
        <v>370</v>
      </c>
      <c r="B275" s="227" t="s">
        <v>147</v>
      </c>
      <c r="C275" s="114">
        <v>1020</v>
      </c>
      <c r="D275" s="115">
        <f>SUM(D276)</f>
        <v>9.3000000000000007</v>
      </c>
      <c r="E275" s="115">
        <f t="shared" ref="E275:F275" si="49">SUM(E276)</f>
        <v>9.2999999999999989</v>
      </c>
      <c r="F275" s="115">
        <f t="shared" si="49"/>
        <v>1.8</v>
      </c>
      <c r="G275" s="263">
        <f t="shared" si="44"/>
        <v>-7.4999999999999991</v>
      </c>
      <c r="H275" s="263">
        <f t="shared" ref="H275:H287" si="50">F275/E275*100</f>
        <v>19.35483870967742</v>
      </c>
    </row>
    <row r="276" spans="1:8" ht="24.75" customHeight="1">
      <c r="A276" s="130" t="s">
        <v>371</v>
      </c>
      <c r="B276" s="126" t="s">
        <v>268</v>
      </c>
      <c r="C276" s="98">
        <v>1025</v>
      </c>
      <c r="D276" s="104">
        <f t="shared" ref="D276" si="51">D277+D278</f>
        <v>9.3000000000000007</v>
      </c>
      <c r="E276" s="104">
        <f>E277+E278</f>
        <v>9.2999999999999989</v>
      </c>
      <c r="F276" s="104">
        <f t="shared" ref="F276" si="52">F277+F278</f>
        <v>1.8</v>
      </c>
      <c r="G276" s="261">
        <f t="shared" si="44"/>
        <v>-7.4999999999999991</v>
      </c>
      <c r="H276" s="261">
        <f t="shared" si="50"/>
        <v>19.35483870967742</v>
      </c>
    </row>
    <row r="277" spans="1:8" ht="24.75" customHeight="1">
      <c r="A277" s="130"/>
      <c r="B277" s="140" t="s">
        <v>251</v>
      </c>
      <c r="C277" s="106"/>
      <c r="D277" s="107">
        <v>9.3000000000000007</v>
      </c>
      <c r="E277" s="107">
        <v>9.1</v>
      </c>
      <c r="F277" s="107">
        <f>2.1-0.3</f>
        <v>1.8</v>
      </c>
      <c r="G277" s="262">
        <f t="shared" si="44"/>
        <v>-7.3</v>
      </c>
      <c r="H277" s="262">
        <f t="shared" si="50"/>
        <v>19.780219780219781</v>
      </c>
    </row>
    <row r="278" spans="1:8" ht="39.75" customHeight="1">
      <c r="A278" s="133"/>
      <c r="B278" s="100" t="s">
        <v>271</v>
      </c>
      <c r="C278" s="106"/>
      <c r="D278" s="107"/>
      <c r="E278" s="107">
        <v>0.2</v>
      </c>
      <c r="F278" s="107"/>
      <c r="G278" s="262">
        <f t="shared" si="44"/>
        <v>-0.2</v>
      </c>
      <c r="H278" s="262">
        <f t="shared" si="50"/>
        <v>0</v>
      </c>
    </row>
    <row r="279" spans="1:8" ht="24.75" customHeight="1">
      <c r="A279" s="130" t="s">
        <v>372</v>
      </c>
      <c r="B279" s="97" t="s">
        <v>624</v>
      </c>
      <c r="C279" s="102"/>
      <c r="D279" s="104">
        <f>SUM(D281,D288)</f>
        <v>66.400000000000006</v>
      </c>
      <c r="E279" s="104">
        <f t="shared" ref="E279:F279" si="53">SUM(E281,E288)</f>
        <v>71.900000000000006</v>
      </c>
      <c r="F279" s="104">
        <f t="shared" si="53"/>
        <v>41.199999999999996</v>
      </c>
      <c r="G279" s="261">
        <f t="shared" si="44"/>
        <v>-30.70000000000001</v>
      </c>
      <c r="H279" s="261">
        <f t="shared" si="50"/>
        <v>57.301808066759378</v>
      </c>
    </row>
    <row r="280" spans="1:8" ht="24.75" customHeight="1">
      <c r="A280" s="130"/>
      <c r="B280" s="148" t="s">
        <v>141</v>
      </c>
      <c r="C280" s="136"/>
      <c r="D280" s="134"/>
      <c r="E280" s="104"/>
      <c r="F280" s="134"/>
      <c r="G280" s="261">
        <f t="shared" si="44"/>
        <v>0</v>
      </c>
      <c r="H280" s="262"/>
    </row>
    <row r="281" spans="1:8" ht="24.75" customHeight="1">
      <c r="A281" s="135" t="s">
        <v>373</v>
      </c>
      <c r="B281" s="227" t="s">
        <v>147</v>
      </c>
      <c r="C281" s="114">
        <v>1020</v>
      </c>
      <c r="D281" s="115">
        <f t="shared" ref="D281:E281" si="54">D282</f>
        <v>66.400000000000006</v>
      </c>
      <c r="E281" s="115">
        <f t="shared" si="54"/>
        <v>71.900000000000006</v>
      </c>
      <c r="F281" s="104">
        <f>SUM(F282)</f>
        <v>0</v>
      </c>
      <c r="G281" s="263">
        <f t="shared" si="44"/>
        <v>-71.900000000000006</v>
      </c>
      <c r="H281" s="262">
        <f t="shared" si="50"/>
        <v>0</v>
      </c>
    </row>
    <row r="282" spans="1:8" ht="24.75" customHeight="1">
      <c r="A282" s="130" t="s">
        <v>374</v>
      </c>
      <c r="B282" s="126" t="s">
        <v>268</v>
      </c>
      <c r="C282" s="98">
        <v>1025</v>
      </c>
      <c r="D282" s="104">
        <f>SUM(D283:D287)</f>
        <v>66.400000000000006</v>
      </c>
      <c r="E282" s="104">
        <f t="shared" ref="E282:F282" si="55">SUM(E283:E287)</f>
        <v>71.900000000000006</v>
      </c>
      <c r="F282" s="104">
        <f t="shared" si="55"/>
        <v>0</v>
      </c>
      <c r="G282" s="261">
        <f t="shared" si="44"/>
        <v>-71.900000000000006</v>
      </c>
      <c r="H282" s="262">
        <f t="shared" si="50"/>
        <v>0</v>
      </c>
    </row>
    <row r="283" spans="1:8" ht="24.75" customHeight="1">
      <c r="A283" s="141"/>
      <c r="B283" s="100" t="s">
        <v>260</v>
      </c>
      <c r="C283" s="106"/>
      <c r="D283" s="157">
        <v>23.3</v>
      </c>
      <c r="E283" s="107">
        <v>25.6</v>
      </c>
      <c r="F283" s="157"/>
      <c r="G283" s="262">
        <f t="shared" si="44"/>
        <v>-25.6</v>
      </c>
      <c r="H283" s="262">
        <f t="shared" si="50"/>
        <v>0</v>
      </c>
    </row>
    <row r="284" spans="1:8" ht="24.75" customHeight="1">
      <c r="A284" s="141"/>
      <c r="B284" s="100" t="s">
        <v>261</v>
      </c>
      <c r="C284" s="106"/>
      <c r="D284" s="157">
        <v>2.7</v>
      </c>
      <c r="E284" s="107">
        <v>2.9</v>
      </c>
      <c r="F284" s="157"/>
      <c r="G284" s="262">
        <f t="shared" si="44"/>
        <v>-2.9</v>
      </c>
      <c r="H284" s="262">
        <f t="shared" si="50"/>
        <v>0</v>
      </c>
    </row>
    <row r="285" spans="1:8" ht="24.75" customHeight="1">
      <c r="A285" s="141"/>
      <c r="B285" s="100" t="s">
        <v>262</v>
      </c>
      <c r="C285" s="106"/>
      <c r="D285" s="157">
        <v>35.6</v>
      </c>
      <c r="E285" s="107">
        <v>38.9</v>
      </c>
      <c r="F285" s="157"/>
      <c r="G285" s="262">
        <f t="shared" si="44"/>
        <v>-38.9</v>
      </c>
      <c r="H285" s="262">
        <f t="shared" si="50"/>
        <v>0</v>
      </c>
    </row>
    <row r="286" spans="1:8" ht="24.75" customHeight="1">
      <c r="A286" s="130"/>
      <c r="B286" s="100" t="s">
        <v>263</v>
      </c>
      <c r="C286" s="106"/>
      <c r="D286" s="157">
        <v>0.4</v>
      </c>
      <c r="E286" s="107">
        <v>0.5</v>
      </c>
      <c r="F286" s="157"/>
      <c r="G286" s="262">
        <f t="shared" si="44"/>
        <v>-0.5</v>
      </c>
      <c r="H286" s="262">
        <f t="shared" si="50"/>
        <v>0</v>
      </c>
    </row>
    <row r="287" spans="1:8" ht="24.75" customHeight="1">
      <c r="A287" s="141"/>
      <c r="B287" s="140" t="s">
        <v>251</v>
      </c>
      <c r="C287" s="106"/>
      <c r="D287" s="107">
        <v>4.4000000000000004</v>
      </c>
      <c r="E287" s="107">
        <v>4</v>
      </c>
      <c r="F287" s="107"/>
      <c r="G287" s="262">
        <f t="shared" si="44"/>
        <v>-4</v>
      </c>
      <c r="H287" s="262">
        <f t="shared" si="50"/>
        <v>0</v>
      </c>
    </row>
    <row r="288" spans="1:8" ht="24.75" customHeight="1">
      <c r="A288" s="135" t="s">
        <v>375</v>
      </c>
      <c r="B288" s="224" t="s">
        <v>14</v>
      </c>
      <c r="C288" s="114">
        <v>1030</v>
      </c>
      <c r="D288" s="115">
        <f>SUM(D289)</f>
        <v>0</v>
      </c>
      <c r="E288" s="115">
        <f>SUM(E289)</f>
        <v>0</v>
      </c>
      <c r="F288" s="115">
        <f>F289</f>
        <v>41.199999999999996</v>
      </c>
      <c r="G288" s="262">
        <f t="shared" si="44"/>
        <v>41.199999999999996</v>
      </c>
      <c r="H288" s="262"/>
    </row>
    <row r="289" spans="1:8" ht="24.75" customHeight="1">
      <c r="A289" s="130" t="s">
        <v>376</v>
      </c>
      <c r="B289" s="158" t="s">
        <v>148</v>
      </c>
      <c r="C289" s="98">
        <v>1035</v>
      </c>
      <c r="D289" s="104">
        <f>SUM(D290:D293)</f>
        <v>0</v>
      </c>
      <c r="E289" s="104">
        <f>SUM(E290:E293)</f>
        <v>0</v>
      </c>
      <c r="F289" s="104">
        <f>SUM(F290:F293)</f>
        <v>41.199999999999996</v>
      </c>
      <c r="G289" s="261">
        <f t="shared" si="44"/>
        <v>41.199999999999996</v>
      </c>
      <c r="H289" s="262"/>
    </row>
    <row r="290" spans="1:8" ht="24.75" customHeight="1">
      <c r="A290" s="141"/>
      <c r="B290" s="100" t="s">
        <v>260</v>
      </c>
      <c r="C290" s="106"/>
      <c r="D290" s="107"/>
      <c r="E290" s="107"/>
      <c r="F290" s="107">
        <f>5+5.4-2+3</f>
        <v>11.4</v>
      </c>
      <c r="G290" s="262">
        <f t="shared" si="44"/>
        <v>11.4</v>
      </c>
      <c r="H290" s="262"/>
    </row>
    <row r="291" spans="1:8" ht="24.75" customHeight="1">
      <c r="A291" s="141"/>
      <c r="B291" s="100" t="s">
        <v>261</v>
      </c>
      <c r="C291" s="106"/>
      <c r="D291" s="107"/>
      <c r="E291" s="107"/>
      <c r="F291" s="107">
        <v>0.9</v>
      </c>
      <c r="G291" s="262">
        <f t="shared" si="44"/>
        <v>0.9</v>
      </c>
      <c r="H291" s="262"/>
    </row>
    <row r="292" spans="1:8" ht="24.75" customHeight="1">
      <c r="A292" s="130"/>
      <c r="B292" s="100" t="s">
        <v>262</v>
      </c>
      <c r="C292" s="106"/>
      <c r="D292" s="107"/>
      <c r="E292" s="107"/>
      <c r="F292" s="107">
        <v>28.5</v>
      </c>
      <c r="G292" s="262">
        <f t="shared" si="44"/>
        <v>28.5</v>
      </c>
      <c r="H292" s="262"/>
    </row>
    <row r="293" spans="1:8" ht="24.75" customHeight="1">
      <c r="A293" s="133"/>
      <c r="B293" s="100" t="s">
        <v>263</v>
      </c>
      <c r="C293" s="106"/>
      <c r="D293" s="107"/>
      <c r="E293" s="107"/>
      <c r="F293" s="107">
        <v>0.4</v>
      </c>
      <c r="G293" s="262">
        <f t="shared" si="44"/>
        <v>0.4</v>
      </c>
      <c r="H293" s="262"/>
    </row>
    <row r="294" spans="1:8" ht="24.75" customHeight="1">
      <c r="A294" s="130" t="s">
        <v>377</v>
      </c>
      <c r="B294" s="97" t="s">
        <v>100</v>
      </c>
      <c r="C294" s="225"/>
      <c r="D294" s="104">
        <f t="shared" ref="D294:F294" si="56">SUM(D296,D299)</f>
        <v>2.1</v>
      </c>
      <c r="E294" s="104">
        <f t="shared" si="56"/>
        <v>3.2</v>
      </c>
      <c r="F294" s="104">
        <f t="shared" si="56"/>
        <v>17</v>
      </c>
      <c r="G294" s="261">
        <f t="shared" si="44"/>
        <v>13.8</v>
      </c>
      <c r="H294" s="261">
        <f>F294/E294*100</f>
        <v>531.25</v>
      </c>
    </row>
    <row r="295" spans="1:8" ht="24.75" customHeight="1">
      <c r="A295" s="135"/>
      <c r="B295" s="148" t="s">
        <v>141</v>
      </c>
      <c r="C295" s="136"/>
      <c r="D295" s="134"/>
      <c r="E295" s="104">
        <f t="shared" ref="E295" si="57">SUM(F295:I295)</f>
        <v>0</v>
      </c>
      <c r="F295" s="134"/>
      <c r="G295" s="262"/>
      <c r="H295" s="262"/>
    </row>
    <row r="296" spans="1:8" ht="24.75" customHeight="1">
      <c r="A296" s="135" t="s">
        <v>378</v>
      </c>
      <c r="B296" s="227" t="s">
        <v>145</v>
      </c>
      <c r="C296" s="228">
        <v>1010</v>
      </c>
      <c r="D296" s="115">
        <f>SUM(D297)</f>
        <v>0</v>
      </c>
      <c r="E296" s="115">
        <f>SUM(E297)</f>
        <v>0</v>
      </c>
      <c r="F296" s="115">
        <f>F297</f>
        <v>12.6</v>
      </c>
      <c r="G296" s="263">
        <f t="shared" si="44"/>
        <v>12.6</v>
      </c>
      <c r="H296" s="262"/>
    </row>
    <row r="297" spans="1:8" ht="24.75" customHeight="1">
      <c r="A297" s="130" t="s">
        <v>379</v>
      </c>
      <c r="B297" s="137" t="s">
        <v>155</v>
      </c>
      <c r="C297" s="120">
        <v>1015</v>
      </c>
      <c r="D297" s="104">
        <f>SUM(D298:D298)</f>
        <v>0</v>
      </c>
      <c r="E297" s="104">
        <f>SUM(E298:E298)</f>
        <v>0</v>
      </c>
      <c r="F297" s="104">
        <f>F298</f>
        <v>12.6</v>
      </c>
      <c r="G297" s="261">
        <f t="shared" si="44"/>
        <v>12.6</v>
      </c>
      <c r="H297" s="262"/>
    </row>
    <row r="298" spans="1:8" ht="24.75" customHeight="1">
      <c r="A298" s="135"/>
      <c r="B298" s="125" t="s">
        <v>380</v>
      </c>
      <c r="C298" s="106"/>
      <c r="D298" s="107"/>
      <c r="E298" s="107"/>
      <c r="F298" s="107">
        <v>12.6</v>
      </c>
      <c r="G298" s="262">
        <f t="shared" si="44"/>
        <v>12.6</v>
      </c>
      <c r="H298" s="262"/>
    </row>
    <row r="299" spans="1:8" ht="24.75" customHeight="1">
      <c r="A299" s="135" t="s">
        <v>381</v>
      </c>
      <c r="B299" s="227" t="s">
        <v>147</v>
      </c>
      <c r="C299" s="114">
        <v>1020</v>
      </c>
      <c r="D299" s="115">
        <f t="shared" ref="D299:E299" si="58">D300</f>
        <v>2.1</v>
      </c>
      <c r="E299" s="115">
        <f t="shared" si="58"/>
        <v>3.2</v>
      </c>
      <c r="F299" s="115">
        <f>F300</f>
        <v>4.4000000000000004</v>
      </c>
      <c r="G299" s="263">
        <f t="shared" si="44"/>
        <v>1.2000000000000002</v>
      </c>
      <c r="H299" s="263">
        <f>F299/E299*100</f>
        <v>137.5</v>
      </c>
    </row>
    <row r="300" spans="1:8" ht="24.75" customHeight="1">
      <c r="A300" s="130" t="s">
        <v>382</v>
      </c>
      <c r="B300" s="126" t="s">
        <v>268</v>
      </c>
      <c r="C300" s="98">
        <v>1025</v>
      </c>
      <c r="D300" s="104">
        <f t="shared" ref="D300:F300" si="59">D301+D302</f>
        <v>2.1</v>
      </c>
      <c r="E300" s="104">
        <f t="shared" si="59"/>
        <v>3.2</v>
      </c>
      <c r="F300" s="104">
        <f t="shared" si="59"/>
        <v>4.4000000000000004</v>
      </c>
      <c r="G300" s="261">
        <f t="shared" si="44"/>
        <v>1.2000000000000002</v>
      </c>
      <c r="H300" s="261">
        <f t="shared" ref="H300:H301" si="60">F300/E300*100</f>
        <v>137.5</v>
      </c>
    </row>
    <row r="301" spans="1:8" ht="24.75" customHeight="1">
      <c r="A301" s="141"/>
      <c r="B301" s="100" t="s">
        <v>383</v>
      </c>
      <c r="C301" s="106"/>
      <c r="D301" s="107">
        <v>1.7</v>
      </c>
      <c r="E301" s="107">
        <v>3.2</v>
      </c>
      <c r="F301" s="107">
        <f>2.4+0.8+1.2</f>
        <v>4.4000000000000004</v>
      </c>
      <c r="G301" s="262">
        <f t="shared" si="44"/>
        <v>1.2000000000000002</v>
      </c>
      <c r="H301" s="262">
        <f t="shared" si="60"/>
        <v>137.5</v>
      </c>
    </row>
    <row r="302" spans="1:8" ht="24.75" customHeight="1">
      <c r="A302" s="141"/>
      <c r="B302" s="125" t="s">
        <v>251</v>
      </c>
      <c r="C302" s="106"/>
      <c r="D302" s="107">
        <v>0.4</v>
      </c>
      <c r="E302" s="107"/>
      <c r="F302" s="107"/>
      <c r="G302" s="262">
        <f t="shared" si="44"/>
        <v>0</v>
      </c>
      <c r="H302" s="262"/>
    </row>
    <row r="303" spans="1:8" ht="24.75" customHeight="1">
      <c r="A303" s="130" t="s">
        <v>384</v>
      </c>
      <c r="B303" s="241" t="s">
        <v>385</v>
      </c>
      <c r="C303" s="237"/>
      <c r="D303" s="55">
        <v>2352.9</v>
      </c>
      <c r="E303" s="55">
        <f t="shared" ref="E303" si="61">SUM(E305,E323)</f>
        <v>0</v>
      </c>
      <c r="F303" s="55">
        <f>SUM(F305,F323)+F320</f>
        <v>2013.5</v>
      </c>
      <c r="G303" s="261">
        <f>F303-E303</f>
        <v>2013.5</v>
      </c>
      <c r="H303" s="262"/>
    </row>
    <row r="304" spans="1:8" ht="24.75" customHeight="1">
      <c r="A304" s="141"/>
      <c r="B304" s="148" t="s">
        <v>141</v>
      </c>
      <c r="C304" s="139"/>
      <c r="D304" s="56"/>
      <c r="E304" s="56"/>
      <c r="F304" s="56"/>
      <c r="G304" s="262"/>
      <c r="H304" s="262"/>
    </row>
    <row r="305" spans="1:8" ht="24.75" customHeight="1">
      <c r="A305" s="135" t="s">
        <v>386</v>
      </c>
      <c r="B305" s="227" t="s">
        <v>145</v>
      </c>
      <c r="C305" s="228">
        <v>1010</v>
      </c>
      <c r="D305" s="159">
        <f>SUM(D306,D314)</f>
        <v>0</v>
      </c>
      <c r="E305" s="159">
        <f>SUM(E306,E314)</f>
        <v>0</v>
      </c>
      <c r="F305" s="159">
        <f>F306+F314</f>
        <v>2013.2</v>
      </c>
      <c r="G305" s="263">
        <f>F305-E305</f>
        <v>2013.2</v>
      </c>
      <c r="H305" s="262"/>
    </row>
    <row r="306" spans="1:8" ht="24.75" customHeight="1">
      <c r="A306" s="130" t="s">
        <v>387</v>
      </c>
      <c r="B306" s="111" t="s">
        <v>176</v>
      </c>
      <c r="C306" s="98">
        <v>1011</v>
      </c>
      <c r="D306" s="55">
        <f>SUM(D307:D313)</f>
        <v>0</v>
      </c>
      <c r="E306" s="55">
        <f t="shared" ref="E306" si="62">SUM(E307:E313)</f>
        <v>0</v>
      </c>
      <c r="F306" s="55">
        <f>SUM(F307:F313)</f>
        <v>1891.7</v>
      </c>
      <c r="G306" s="261">
        <f t="shared" ref="G306:G334" si="63">F306-E306</f>
        <v>1891.7</v>
      </c>
      <c r="H306" s="262"/>
    </row>
    <row r="307" spans="1:8" ht="24.75" customHeight="1">
      <c r="A307" s="141"/>
      <c r="B307" s="117" t="s">
        <v>388</v>
      </c>
      <c r="C307" s="139"/>
      <c r="D307" s="56"/>
      <c r="E307" s="56"/>
      <c r="F307" s="56">
        <v>1193.5</v>
      </c>
      <c r="G307" s="262">
        <f t="shared" si="63"/>
        <v>1193.5</v>
      </c>
      <c r="H307" s="262"/>
    </row>
    <row r="308" spans="1:8" ht="24.75" customHeight="1">
      <c r="A308" s="141"/>
      <c r="B308" s="117" t="s">
        <v>389</v>
      </c>
      <c r="C308" s="139"/>
      <c r="D308" s="56"/>
      <c r="E308" s="56"/>
      <c r="F308" s="56">
        <v>637.79999999999995</v>
      </c>
      <c r="G308" s="262">
        <f t="shared" si="63"/>
        <v>637.79999999999995</v>
      </c>
      <c r="H308" s="262"/>
    </row>
    <row r="309" spans="1:8" ht="24.75" customHeight="1">
      <c r="A309" s="141"/>
      <c r="B309" s="117" t="s">
        <v>213</v>
      </c>
      <c r="C309" s="139"/>
      <c r="D309" s="56"/>
      <c r="E309" s="56"/>
      <c r="F309" s="56">
        <v>15.9</v>
      </c>
      <c r="G309" s="262">
        <f t="shared" si="63"/>
        <v>15.9</v>
      </c>
      <c r="H309" s="262"/>
    </row>
    <row r="310" spans="1:8" ht="24.75" customHeight="1">
      <c r="A310" s="141"/>
      <c r="B310" s="100" t="s">
        <v>280</v>
      </c>
      <c r="C310" s="139"/>
      <c r="D310" s="56"/>
      <c r="E310" s="56"/>
      <c r="F310" s="56">
        <v>2.2000000000000002</v>
      </c>
      <c r="G310" s="262">
        <f t="shared" si="63"/>
        <v>2.2000000000000002</v>
      </c>
      <c r="H310" s="262"/>
    </row>
    <row r="311" spans="1:8" ht="24.75" customHeight="1">
      <c r="A311" s="141"/>
      <c r="B311" s="100" t="s">
        <v>390</v>
      </c>
      <c r="C311" s="139"/>
      <c r="D311" s="56"/>
      <c r="E311" s="56"/>
      <c r="F311" s="56">
        <f>2.5-1</f>
        <v>1.5</v>
      </c>
      <c r="G311" s="262">
        <f t="shared" si="63"/>
        <v>1.5</v>
      </c>
      <c r="H311" s="262"/>
    </row>
    <row r="312" spans="1:8" ht="34.5" customHeight="1">
      <c r="A312" s="141"/>
      <c r="B312" s="100" t="s">
        <v>391</v>
      </c>
      <c r="C312" s="139"/>
      <c r="D312" s="56"/>
      <c r="E312" s="56"/>
      <c r="F312" s="56">
        <v>39.1</v>
      </c>
      <c r="G312" s="262">
        <f t="shared" si="63"/>
        <v>39.1</v>
      </c>
      <c r="H312" s="262"/>
    </row>
    <row r="313" spans="1:8" ht="36" customHeight="1">
      <c r="A313" s="141"/>
      <c r="B313" s="100" t="s">
        <v>392</v>
      </c>
      <c r="C313" s="139"/>
      <c r="D313" s="56"/>
      <c r="E313" s="56"/>
      <c r="F313" s="56">
        <f>7.8-6.1</f>
        <v>1.7000000000000002</v>
      </c>
      <c r="G313" s="262">
        <f t="shared" si="63"/>
        <v>1.7000000000000002</v>
      </c>
      <c r="H313" s="262"/>
    </row>
    <row r="314" spans="1:8" ht="24.75" customHeight="1">
      <c r="A314" s="130" t="s">
        <v>393</v>
      </c>
      <c r="B314" s="137" t="s">
        <v>155</v>
      </c>
      <c r="C314" s="120">
        <v>1015</v>
      </c>
      <c r="D314" s="55">
        <f>SUM(D317:D319)</f>
        <v>0</v>
      </c>
      <c r="E314" s="55">
        <f>SUM(E317:E319)</f>
        <v>0</v>
      </c>
      <c r="F314" s="55">
        <f>SUM(F315:F319)</f>
        <v>121.49999999999999</v>
      </c>
      <c r="G314" s="261">
        <f t="shared" si="63"/>
        <v>121.49999999999999</v>
      </c>
      <c r="H314" s="262"/>
    </row>
    <row r="315" spans="1:8" ht="24.75" customHeight="1">
      <c r="A315" s="130"/>
      <c r="B315" s="138" t="s">
        <v>298</v>
      </c>
      <c r="C315" s="120"/>
      <c r="D315" s="55"/>
      <c r="E315" s="55"/>
      <c r="F315" s="56">
        <v>3.4</v>
      </c>
      <c r="G315" s="262">
        <f t="shared" si="63"/>
        <v>3.4</v>
      </c>
      <c r="H315" s="262"/>
    </row>
    <row r="316" spans="1:8" ht="24.75" customHeight="1">
      <c r="A316" s="130"/>
      <c r="B316" s="100" t="s">
        <v>380</v>
      </c>
      <c r="C316" s="139"/>
      <c r="D316" s="56"/>
      <c r="E316" s="56"/>
      <c r="F316" s="107">
        <v>25.2</v>
      </c>
      <c r="G316" s="262">
        <f t="shared" si="63"/>
        <v>25.2</v>
      </c>
      <c r="H316" s="262"/>
    </row>
    <row r="317" spans="1:8" ht="24.75" customHeight="1">
      <c r="A317" s="141"/>
      <c r="B317" s="100" t="s">
        <v>248</v>
      </c>
      <c r="C317" s="139"/>
      <c r="D317" s="56"/>
      <c r="E317" s="56"/>
      <c r="F317" s="56">
        <v>13.1</v>
      </c>
      <c r="G317" s="262">
        <f t="shared" si="63"/>
        <v>13.1</v>
      </c>
      <c r="H317" s="262"/>
    </row>
    <row r="318" spans="1:8" ht="24.75" customHeight="1">
      <c r="A318" s="141"/>
      <c r="B318" s="125" t="s">
        <v>394</v>
      </c>
      <c r="C318" s="139"/>
      <c r="D318" s="56"/>
      <c r="E318" s="56"/>
      <c r="F318" s="56">
        <v>78.599999999999994</v>
      </c>
      <c r="G318" s="262">
        <f t="shared" si="63"/>
        <v>78.599999999999994</v>
      </c>
      <c r="H318" s="262"/>
    </row>
    <row r="319" spans="1:8" ht="24.75" customHeight="1">
      <c r="A319" s="141"/>
      <c r="B319" s="125" t="s">
        <v>395</v>
      </c>
      <c r="C319" s="139"/>
      <c r="D319" s="56"/>
      <c r="E319" s="56"/>
      <c r="F319" s="56">
        <v>1.2</v>
      </c>
      <c r="G319" s="262">
        <f t="shared" si="63"/>
        <v>1.2</v>
      </c>
      <c r="H319" s="262"/>
    </row>
    <row r="320" spans="1:8" ht="24.75" customHeight="1">
      <c r="A320" s="135" t="s">
        <v>396</v>
      </c>
      <c r="B320" s="227" t="s">
        <v>147</v>
      </c>
      <c r="C320" s="114">
        <v>1020</v>
      </c>
      <c r="D320" s="159">
        <f>SUM(D321)</f>
        <v>0</v>
      </c>
      <c r="E320" s="159">
        <f t="shared" ref="E320:F321" si="64">SUM(E321)</f>
        <v>0</v>
      </c>
      <c r="F320" s="159">
        <f t="shared" si="64"/>
        <v>0.3</v>
      </c>
      <c r="G320" s="263">
        <f t="shared" si="63"/>
        <v>0.3</v>
      </c>
      <c r="H320" s="262"/>
    </row>
    <row r="321" spans="1:8" ht="24.75" customHeight="1">
      <c r="A321" s="130" t="s">
        <v>397</v>
      </c>
      <c r="B321" s="126" t="s">
        <v>268</v>
      </c>
      <c r="C321" s="98">
        <v>1025</v>
      </c>
      <c r="D321" s="55">
        <f>SUM(D322)</f>
        <v>0</v>
      </c>
      <c r="E321" s="55">
        <f t="shared" si="64"/>
        <v>0</v>
      </c>
      <c r="F321" s="55">
        <f t="shared" si="64"/>
        <v>0.3</v>
      </c>
      <c r="G321" s="261">
        <f t="shared" si="63"/>
        <v>0.3</v>
      </c>
      <c r="H321" s="262"/>
    </row>
    <row r="322" spans="1:8" ht="24.75" customHeight="1">
      <c r="A322" s="141"/>
      <c r="B322" s="140" t="s">
        <v>251</v>
      </c>
      <c r="C322" s="139"/>
      <c r="D322" s="56"/>
      <c r="E322" s="56"/>
      <c r="F322" s="56">
        <v>0.3</v>
      </c>
      <c r="G322" s="262">
        <f t="shared" si="63"/>
        <v>0.3</v>
      </c>
      <c r="H322" s="262"/>
    </row>
    <row r="323" spans="1:8" ht="24.75" customHeight="1">
      <c r="A323" s="135" t="s">
        <v>398</v>
      </c>
      <c r="B323" s="227" t="s">
        <v>148</v>
      </c>
      <c r="C323" s="228">
        <v>1030</v>
      </c>
      <c r="D323" s="159">
        <f>SUM(D324)</f>
        <v>2352.8999999999996</v>
      </c>
      <c r="E323" s="159">
        <f t="shared" ref="E323:F323" si="65">SUM(E324)</f>
        <v>0</v>
      </c>
      <c r="F323" s="159">
        <f t="shared" si="65"/>
        <v>0</v>
      </c>
      <c r="G323" s="182">
        <f t="shared" si="63"/>
        <v>0</v>
      </c>
      <c r="H323" s="262"/>
    </row>
    <row r="324" spans="1:8" ht="24.75" customHeight="1">
      <c r="A324" s="130" t="s">
        <v>399</v>
      </c>
      <c r="B324" s="111" t="s">
        <v>176</v>
      </c>
      <c r="C324" s="120">
        <v>1031</v>
      </c>
      <c r="D324" s="55">
        <f>SUM(D325:D329)</f>
        <v>2352.8999999999996</v>
      </c>
      <c r="E324" s="55">
        <f t="shared" ref="E324:F324" si="66">SUM(E325:E329)</f>
        <v>0</v>
      </c>
      <c r="F324" s="55">
        <f t="shared" si="66"/>
        <v>0</v>
      </c>
      <c r="G324" s="182">
        <f t="shared" si="63"/>
        <v>0</v>
      </c>
      <c r="H324" s="262"/>
    </row>
    <row r="325" spans="1:8" ht="24.75" customHeight="1">
      <c r="A325" s="141"/>
      <c r="B325" s="117" t="s">
        <v>388</v>
      </c>
      <c r="C325" s="139"/>
      <c r="D325" s="56">
        <f>743.1-487.4</f>
        <v>255.70000000000005</v>
      </c>
      <c r="E325" s="56"/>
      <c r="F325" s="55"/>
      <c r="G325" s="182">
        <f t="shared" si="63"/>
        <v>0</v>
      </c>
      <c r="H325" s="262"/>
    </row>
    <row r="326" spans="1:8" ht="24.75" customHeight="1">
      <c r="A326" s="141"/>
      <c r="B326" s="117" t="s">
        <v>389</v>
      </c>
      <c r="C326" s="139"/>
      <c r="D326" s="56">
        <v>2040</v>
      </c>
      <c r="E326" s="56"/>
      <c r="F326" s="55"/>
      <c r="G326" s="182">
        <f t="shared" si="63"/>
        <v>0</v>
      </c>
      <c r="H326" s="262"/>
    </row>
    <row r="327" spans="1:8" ht="24.75" customHeight="1">
      <c r="A327" s="141"/>
      <c r="B327" s="117" t="s">
        <v>213</v>
      </c>
      <c r="C327" s="139"/>
      <c r="D327" s="56">
        <v>20.2</v>
      </c>
      <c r="E327" s="56"/>
      <c r="F327" s="55"/>
      <c r="G327" s="182">
        <f t="shared" si="63"/>
        <v>0</v>
      </c>
      <c r="H327" s="262"/>
    </row>
    <row r="328" spans="1:8" ht="24.75" customHeight="1">
      <c r="A328" s="141"/>
      <c r="B328" s="100" t="s">
        <v>214</v>
      </c>
      <c r="C328" s="139"/>
      <c r="D328" s="56">
        <f>68.1-49.2</f>
        <v>18.899999999999991</v>
      </c>
      <c r="E328" s="56"/>
      <c r="F328" s="55"/>
      <c r="G328" s="182">
        <f t="shared" si="63"/>
        <v>0</v>
      </c>
      <c r="H328" s="262"/>
    </row>
    <row r="329" spans="1:8" ht="38.25" customHeight="1">
      <c r="A329" s="141"/>
      <c r="B329" s="100" t="s">
        <v>391</v>
      </c>
      <c r="C329" s="139"/>
      <c r="D329" s="56">
        <f>63.2-45.1</f>
        <v>18.100000000000001</v>
      </c>
      <c r="E329" s="56"/>
      <c r="F329" s="56"/>
      <c r="G329" s="182">
        <f t="shared" si="63"/>
        <v>0</v>
      </c>
      <c r="H329" s="262"/>
    </row>
    <row r="330" spans="1:8" ht="43.5" customHeight="1">
      <c r="A330" s="130" t="s">
        <v>400</v>
      </c>
      <c r="B330" s="97" t="s">
        <v>401</v>
      </c>
      <c r="C330" s="139"/>
      <c r="D330" s="55">
        <f>D332</f>
        <v>487.4</v>
      </c>
      <c r="E330" s="56">
        <f>SUM(E332)</f>
        <v>0</v>
      </c>
      <c r="F330" s="56">
        <f t="shared" ref="F330" si="67">SUM(F332)</f>
        <v>0</v>
      </c>
      <c r="G330" s="182">
        <f t="shared" si="63"/>
        <v>0</v>
      </c>
      <c r="H330" s="262"/>
    </row>
    <row r="331" spans="1:8" ht="24.75" customHeight="1">
      <c r="A331" s="141"/>
      <c r="B331" s="148" t="s">
        <v>141</v>
      </c>
      <c r="C331" s="139"/>
      <c r="D331" s="56"/>
      <c r="E331" s="56"/>
      <c r="F331" s="56"/>
      <c r="G331" s="182"/>
      <c r="H331" s="262"/>
    </row>
    <row r="332" spans="1:8" ht="24.75" customHeight="1">
      <c r="A332" s="135" t="s">
        <v>402</v>
      </c>
      <c r="B332" s="227" t="s">
        <v>148</v>
      </c>
      <c r="C332" s="228">
        <v>1030</v>
      </c>
      <c r="D332" s="159">
        <f>D333</f>
        <v>487.4</v>
      </c>
      <c r="E332" s="159">
        <f>SUM(E333)</f>
        <v>0</v>
      </c>
      <c r="F332" s="159">
        <f t="shared" ref="F332" si="68">SUM(F333)</f>
        <v>0</v>
      </c>
      <c r="G332" s="182">
        <f t="shared" si="63"/>
        <v>0</v>
      </c>
      <c r="H332" s="262"/>
    </row>
    <row r="333" spans="1:8" ht="24.75" customHeight="1">
      <c r="A333" s="130" t="s">
        <v>403</v>
      </c>
      <c r="B333" s="111" t="s">
        <v>176</v>
      </c>
      <c r="C333" s="120">
        <v>1031</v>
      </c>
      <c r="D333" s="55">
        <f>D334</f>
        <v>487.4</v>
      </c>
      <c r="E333" s="55">
        <f t="shared" ref="E333:F333" si="69">E334</f>
        <v>0</v>
      </c>
      <c r="F333" s="55">
        <f t="shared" si="69"/>
        <v>0</v>
      </c>
      <c r="G333" s="182">
        <f t="shared" si="63"/>
        <v>0</v>
      </c>
      <c r="H333" s="262"/>
    </row>
    <row r="334" spans="1:8" ht="24.75" customHeight="1">
      <c r="A334" s="141"/>
      <c r="B334" s="117" t="s">
        <v>388</v>
      </c>
      <c r="C334" s="120"/>
      <c r="D334" s="56">
        <v>487.4</v>
      </c>
      <c r="E334" s="56"/>
      <c r="F334" s="56"/>
      <c r="G334" s="182">
        <f t="shared" si="63"/>
        <v>0</v>
      </c>
      <c r="H334" s="262"/>
    </row>
    <row r="335" spans="1:8" ht="24.75" customHeight="1">
      <c r="A335" s="130" t="s">
        <v>404</v>
      </c>
      <c r="B335" s="97" t="s">
        <v>405</v>
      </c>
      <c r="C335" s="120"/>
      <c r="D335" s="55">
        <f t="shared" ref="D335:E335" si="70">D337+D358</f>
        <v>369.2</v>
      </c>
      <c r="E335" s="55">
        <f t="shared" si="70"/>
        <v>0</v>
      </c>
      <c r="F335" s="55">
        <f>F337+F358</f>
        <v>362.5</v>
      </c>
      <c r="G335" s="261">
        <f>F335-E335</f>
        <v>362.5</v>
      </c>
      <c r="H335" s="262"/>
    </row>
    <row r="336" spans="1:8" ht="24.75" customHeight="1">
      <c r="A336" s="130"/>
      <c r="B336" s="160" t="s">
        <v>141</v>
      </c>
      <c r="C336" s="120"/>
      <c r="D336" s="55"/>
      <c r="E336" s="55"/>
      <c r="F336" s="55"/>
      <c r="G336" s="262"/>
      <c r="H336" s="262"/>
    </row>
    <row r="337" spans="1:8" ht="24.75" customHeight="1">
      <c r="A337" s="135" t="s">
        <v>406</v>
      </c>
      <c r="B337" s="227" t="s">
        <v>145</v>
      </c>
      <c r="C337" s="228">
        <v>1010</v>
      </c>
      <c r="D337" s="159">
        <f>SUM(D338,D343,D344)</f>
        <v>369.2</v>
      </c>
      <c r="E337" s="159">
        <f t="shared" ref="E337:F337" si="71">SUM(E338,E343,E344)</f>
        <v>0</v>
      </c>
      <c r="F337" s="159">
        <f t="shared" si="71"/>
        <v>241.9</v>
      </c>
      <c r="G337" s="263">
        <f>F337-E337</f>
        <v>241.9</v>
      </c>
      <c r="H337" s="262"/>
    </row>
    <row r="338" spans="1:8" ht="24.75" customHeight="1">
      <c r="A338" s="130" t="s">
        <v>407</v>
      </c>
      <c r="B338" s="111" t="s">
        <v>176</v>
      </c>
      <c r="C338" s="98">
        <v>1011</v>
      </c>
      <c r="D338" s="55">
        <f>SUM(D339:D342)</f>
        <v>94.300000000000011</v>
      </c>
      <c r="E338" s="55">
        <f t="shared" ref="E338:F338" si="72">SUM(E339:E342)</f>
        <v>0</v>
      </c>
      <c r="F338" s="55">
        <f t="shared" si="72"/>
        <v>98</v>
      </c>
      <c r="G338" s="261">
        <f t="shared" ref="G338:G371" si="73">F338-E338</f>
        <v>98</v>
      </c>
      <c r="H338" s="262"/>
    </row>
    <row r="339" spans="1:8" ht="24.75" customHeight="1">
      <c r="A339" s="141"/>
      <c r="B339" s="113" t="s">
        <v>214</v>
      </c>
      <c r="C339" s="98"/>
      <c r="D339" s="56">
        <v>49.2</v>
      </c>
      <c r="E339" s="56"/>
      <c r="F339" s="55"/>
      <c r="G339" s="262">
        <f t="shared" si="73"/>
        <v>0</v>
      </c>
      <c r="H339" s="262"/>
    </row>
    <row r="340" spans="1:8" ht="33.75" customHeight="1">
      <c r="A340" s="141"/>
      <c r="B340" s="100" t="s">
        <v>391</v>
      </c>
      <c r="C340" s="98"/>
      <c r="D340" s="56">
        <v>45.1</v>
      </c>
      <c r="E340" s="56"/>
      <c r="F340" s="56">
        <v>90.8</v>
      </c>
      <c r="G340" s="262">
        <f t="shared" si="73"/>
        <v>90.8</v>
      </c>
      <c r="H340" s="262"/>
    </row>
    <row r="341" spans="1:8" ht="33.75" customHeight="1">
      <c r="A341" s="141"/>
      <c r="B341" s="100" t="s">
        <v>392</v>
      </c>
      <c r="C341" s="98"/>
      <c r="D341" s="56"/>
      <c r="E341" s="56"/>
      <c r="F341" s="56">
        <v>6.2</v>
      </c>
      <c r="G341" s="262">
        <f t="shared" si="73"/>
        <v>6.2</v>
      </c>
      <c r="H341" s="262"/>
    </row>
    <row r="342" spans="1:8" ht="24.75" customHeight="1">
      <c r="A342" s="141"/>
      <c r="B342" s="100" t="s">
        <v>390</v>
      </c>
      <c r="C342" s="98"/>
      <c r="D342" s="56"/>
      <c r="E342" s="56"/>
      <c r="F342" s="56">
        <v>1</v>
      </c>
      <c r="G342" s="262">
        <f t="shared" si="73"/>
        <v>1</v>
      </c>
      <c r="H342" s="262"/>
    </row>
    <row r="343" spans="1:8" ht="24.75" customHeight="1">
      <c r="A343" s="130" t="s">
        <v>408</v>
      </c>
      <c r="B343" s="126" t="s">
        <v>4</v>
      </c>
      <c r="C343" s="120">
        <v>1014</v>
      </c>
      <c r="D343" s="55"/>
      <c r="E343" s="55"/>
      <c r="F343" s="55">
        <v>29.2</v>
      </c>
      <c r="G343" s="261">
        <f t="shared" si="73"/>
        <v>29.2</v>
      </c>
      <c r="H343" s="262"/>
    </row>
    <row r="344" spans="1:8" ht="24.75" customHeight="1">
      <c r="A344" s="130" t="s">
        <v>409</v>
      </c>
      <c r="B344" s="137" t="s">
        <v>155</v>
      </c>
      <c r="C344" s="120">
        <v>1015</v>
      </c>
      <c r="D344" s="55">
        <f>SUM(D345:D357)</f>
        <v>274.89999999999998</v>
      </c>
      <c r="E344" s="55">
        <f t="shared" ref="E344:F344" si="74">SUM(E345:E357)</f>
        <v>0</v>
      </c>
      <c r="F344" s="55">
        <f t="shared" si="74"/>
        <v>114.7</v>
      </c>
      <c r="G344" s="261">
        <f t="shared" si="73"/>
        <v>114.7</v>
      </c>
      <c r="H344" s="262"/>
    </row>
    <row r="345" spans="1:8" ht="24.75" customHeight="1">
      <c r="A345" s="141"/>
      <c r="B345" s="138" t="s">
        <v>298</v>
      </c>
      <c r="C345" s="139"/>
      <c r="D345" s="56"/>
      <c r="E345" s="56"/>
      <c r="F345" s="56">
        <v>46</v>
      </c>
      <c r="G345" s="262">
        <f t="shared" si="73"/>
        <v>46</v>
      </c>
      <c r="H345" s="262"/>
    </row>
    <row r="346" spans="1:8" ht="24.75" customHeight="1">
      <c r="A346" s="141"/>
      <c r="B346" s="100" t="s">
        <v>380</v>
      </c>
      <c r="C346" s="139"/>
      <c r="D346" s="56">
        <v>25.6</v>
      </c>
      <c r="E346" s="56"/>
      <c r="F346" s="107">
        <v>3.4</v>
      </c>
      <c r="G346" s="262">
        <f t="shared" si="73"/>
        <v>3.4</v>
      </c>
      <c r="H346" s="262"/>
    </row>
    <row r="347" spans="1:8" ht="24.75" customHeight="1">
      <c r="A347" s="141"/>
      <c r="B347" s="100" t="s">
        <v>225</v>
      </c>
      <c r="C347" s="139"/>
      <c r="D347" s="56">
        <v>6.6</v>
      </c>
      <c r="E347" s="56"/>
      <c r="F347" s="56">
        <v>2.2999999999999998</v>
      </c>
      <c r="G347" s="262">
        <f t="shared" si="73"/>
        <v>2.2999999999999998</v>
      </c>
      <c r="H347" s="262"/>
    </row>
    <row r="348" spans="1:8" ht="24.75" customHeight="1">
      <c r="A348" s="141"/>
      <c r="B348" s="138" t="s">
        <v>284</v>
      </c>
      <c r="C348" s="139"/>
      <c r="D348" s="56">
        <v>3.5</v>
      </c>
      <c r="E348" s="56"/>
      <c r="F348" s="56">
        <v>1.4</v>
      </c>
      <c r="G348" s="262">
        <f t="shared" si="73"/>
        <v>1.4</v>
      </c>
      <c r="H348" s="262"/>
    </row>
    <row r="349" spans="1:8" ht="24.75" customHeight="1">
      <c r="A349" s="141"/>
      <c r="B349" s="100" t="s">
        <v>250</v>
      </c>
      <c r="C349" s="139"/>
      <c r="D349" s="56"/>
      <c r="E349" s="56"/>
      <c r="F349" s="56">
        <v>9.3000000000000007</v>
      </c>
      <c r="G349" s="262">
        <f t="shared" si="73"/>
        <v>9.3000000000000007</v>
      </c>
      <c r="H349" s="262"/>
    </row>
    <row r="350" spans="1:8" ht="37.5" customHeight="1">
      <c r="A350" s="141"/>
      <c r="B350" s="100" t="s">
        <v>410</v>
      </c>
      <c r="C350" s="139"/>
      <c r="D350" s="56">
        <v>1.3</v>
      </c>
      <c r="E350" s="56"/>
      <c r="F350" s="56">
        <v>4.7</v>
      </c>
      <c r="G350" s="262">
        <f t="shared" si="73"/>
        <v>4.7</v>
      </c>
      <c r="H350" s="262"/>
    </row>
    <row r="351" spans="1:8" ht="24.75" customHeight="1">
      <c r="A351" s="141"/>
      <c r="B351" s="125" t="s">
        <v>285</v>
      </c>
      <c r="C351" s="139"/>
      <c r="D351" s="56">
        <v>6.4</v>
      </c>
      <c r="E351" s="56"/>
      <c r="F351" s="56">
        <v>7.3</v>
      </c>
      <c r="G351" s="262">
        <f t="shared" si="73"/>
        <v>7.3</v>
      </c>
      <c r="H351" s="262"/>
    </row>
    <row r="352" spans="1:8" ht="24.75" customHeight="1">
      <c r="A352" s="141"/>
      <c r="B352" s="100" t="s">
        <v>291</v>
      </c>
      <c r="C352" s="139"/>
      <c r="D352" s="56"/>
      <c r="E352" s="56"/>
      <c r="F352" s="56">
        <v>2.4</v>
      </c>
      <c r="G352" s="262">
        <f t="shared" si="73"/>
        <v>2.4</v>
      </c>
      <c r="H352" s="262"/>
    </row>
    <row r="353" spans="1:8" ht="24.75" customHeight="1">
      <c r="A353" s="141"/>
      <c r="B353" s="125" t="s">
        <v>258</v>
      </c>
      <c r="C353" s="139"/>
      <c r="D353" s="56"/>
      <c r="E353" s="56"/>
      <c r="F353" s="56">
        <v>1.1000000000000001</v>
      </c>
      <c r="G353" s="262">
        <f t="shared" si="73"/>
        <v>1.1000000000000001</v>
      </c>
      <c r="H353" s="262"/>
    </row>
    <row r="354" spans="1:8" ht="24.75" customHeight="1">
      <c r="A354" s="141"/>
      <c r="B354" s="125" t="s">
        <v>255</v>
      </c>
      <c r="C354" s="139"/>
      <c r="D354" s="56"/>
      <c r="E354" s="56"/>
      <c r="F354" s="56">
        <v>2.4</v>
      </c>
      <c r="G354" s="262">
        <f t="shared" si="73"/>
        <v>2.4</v>
      </c>
      <c r="H354" s="262"/>
    </row>
    <row r="355" spans="1:8" ht="24.75" customHeight="1">
      <c r="A355" s="141"/>
      <c r="B355" s="125" t="s">
        <v>411</v>
      </c>
      <c r="C355" s="139"/>
      <c r="D355" s="56"/>
      <c r="E355" s="56"/>
      <c r="F355" s="56">
        <v>32.1</v>
      </c>
      <c r="G355" s="262">
        <f t="shared" si="73"/>
        <v>32.1</v>
      </c>
      <c r="H355" s="262"/>
    </row>
    <row r="356" spans="1:8" ht="24.75" customHeight="1">
      <c r="A356" s="141"/>
      <c r="B356" s="125" t="s">
        <v>394</v>
      </c>
      <c r="C356" s="139"/>
      <c r="D356" s="56">
        <v>223.1</v>
      </c>
      <c r="E356" s="56"/>
      <c r="F356" s="56"/>
      <c r="G356" s="262">
        <f t="shared" si="73"/>
        <v>0</v>
      </c>
      <c r="H356" s="262"/>
    </row>
    <row r="357" spans="1:8" ht="24.75" customHeight="1">
      <c r="A357" s="141"/>
      <c r="B357" s="125" t="s">
        <v>264</v>
      </c>
      <c r="C357" s="139"/>
      <c r="D357" s="56">
        <v>8.4</v>
      </c>
      <c r="E357" s="56"/>
      <c r="F357" s="56">
        <v>2.2999999999999998</v>
      </c>
      <c r="G357" s="262">
        <f t="shared" si="73"/>
        <v>2.2999999999999998</v>
      </c>
      <c r="H357" s="262"/>
    </row>
    <row r="358" spans="1:8" ht="24.75" customHeight="1">
      <c r="A358" s="135" t="s">
        <v>412</v>
      </c>
      <c r="B358" s="227" t="s">
        <v>147</v>
      </c>
      <c r="C358" s="228">
        <v>1020</v>
      </c>
      <c r="D358" s="159">
        <f>D359</f>
        <v>0</v>
      </c>
      <c r="E358" s="159">
        <f t="shared" ref="E358:F359" si="75">E359</f>
        <v>0</v>
      </c>
      <c r="F358" s="159">
        <f t="shared" si="75"/>
        <v>120.6</v>
      </c>
      <c r="G358" s="263">
        <f t="shared" si="73"/>
        <v>120.6</v>
      </c>
      <c r="H358" s="262"/>
    </row>
    <row r="359" spans="1:8" ht="24.75" customHeight="1">
      <c r="A359" s="130" t="s">
        <v>413</v>
      </c>
      <c r="B359" s="126" t="s">
        <v>268</v>
      </c>
      <c r="C359" s="98">
        <v>1025</v>
      </c>
      <c r="D359" s="55">
        <f>D360</f>
        <v>0</v>
      </c>
      <c r="E359" s="55">
        <f t="shared" si="75"/>
        <v>0</v>
      </c>
      <c r="F359" s="55">
        <f t="shared" si="75"/>
        <v>120.6</v>
      </c>
      <c r="G359" s="261">
        <f t="shared" si="73"/>
        <v>120.6</v>
      </c>
      <c r="H359" s="262"/>
    </row>
    <row r="360" spans="1:8" ht="24.75" customHeight="1">
      <c r="A360" s="141"/>
      <c r="B360" s="100" t="s">
        <v>414</v>
      </c>
      <c r="C360" s="139"/>
      <c r="D360" s="56"/>
      <c r="E360" s="56"/>
      <c r="F360" s="56">
        <v>120.6</v>
      </c>
      <c r="G360" s="262">
        <f t="shared" si="73"/>
        <v>120.6</v>
      </c>
      <c r="H360" s="262"/>
    </row>
    <row r="361" spans="1:8" ht="24.75" customHeight="1">
      <c r="A361" s="130" t="s">
        <v>415</v>
      </c>
      <c r="B361" s="126" t="s">
        <v>178</v>
      </c>
      <c r="C361" s="120"/>
      <c r="D361" s="56">
        <f>SUM(D363,D368)</f>
        <v>0</v>
      </c>
      <c r="E361" s="56">
        <f>SUM(E363,E368)</f>
        <v>0</v>
      </c>
      <c r="F361" s="55">
        <f>F363</f>
        <v>26.5</v>
      </c>
      <c r="G361" s="261">
        <f t="shared" si="73"/>
        <v>26.5</v>
      </c>
      <c r="H361" s="262"/>
    </row>
    <row r="362" spans="1:8" ht="24.75" customHeight="1">
      <c r="A362" s="130"/>
      <c r="B362" s="148" t="s">
        <v>141</v>
      </c>
      <c r="C362" s="120"/>
      <c r="D362" s="56"/>
      <c r="E362" s="56"/>
      <c r="F362" s="55"/>
      <c r="G362" s="262">
        <f t="shared" si="73"/>
        <v>0</v>
      </c>
      <c r="H362" s="262"/>
    </row>
    <row r="363" spans="1:8" ht="24.75" customHeight="1">
      <c r="A363" s="135" t="s">
        <v>416</v>
      </c>
      <c r="B363" s="186" t="s">
        <v>145</v>
      </c>
      <c r="C363" s="228">
        <v>1010</v>
      </c>
      <c r="D363" s="159">
        <f>SUM(D364)</f>
        <v>0</v>
      </c>
      <c r="E363" s="159">
        <f>SUM(E364)</f>
        <v>0</v>
      </c>
      <c r="F363" s="159">
        <f>F364</f>
        <v>26.5</v>
      </c>
      <c r="G363" s="263">
        <f t="shared" si="73"/>
        <v>26.5</v>
      </c>
      <c r="H363" s="262"/>
    </row>
    <row r="364" spans="1:8" ht="24.75" customHeight="1">
      <c r="A364" s="130" t="s">
        <v>417</v>
      </c>
      <c r="B364" s="97" t="s">
        <v>155</v>
      </c>
      <c r="C364" s="120">
        <v>1015</v>
      </c>
      <c r="D364" s="55">
        <f>SUM(D365)</f>
        <v>0</v>
      </c>
      <c r="E364" s="55">
        <f>SUM(E365)</f>
        <v>0</v>
      </c>
      <c r="F364" s="55">
        <f>F365</f>
        <v>26.5</v>
      </c>
      <c r="G364" s="261">
        <f t="shared" si="73"/>
        <v>26.5</v>
      </c>
      <c r="H364" s="262"/>
    </row>
    <row r="365" spans="1:8" ht="24.75" customHeight="1">
      <c r="A365" s="141"/>
      <c r="B365" s="100" t="s">
        <v>380</v>
      </c>
      <c r="C365" s="139"/>
      <c r="D365" s="56"/>
      <c r="E365" s="56"/>
      <c r="F365" s="56">
        <v>26.5</v>
      </c>
      <c r="G365" s="262">
        <f t="shared" si="73"/>
        <v>26.5</v>
      </c>
      <c r="H365" s="262"/>
    </row>
    <row r="366" spans="1:8" ht="24.75" customHeight="1">
      <c r="A366" s="130" t="s">
        <v>418</v>
      </c>
      <c r="B366" s="128" t="s">
        <v>419</v>
      </c>
      <c r="C366" s="120"/>
      <c r="D366" s="104">
        <f>SUM(D369)</f>
        <v>0</v>
      </c>
      <c r="E366" s="104">
        <f t="shared" ref="E366:F366" si="76">SUM(E369)</f>
        <v>0</v>
      </c>
      <c r="F366" s="104">
        <f t="shared" si="76"/>
        <v>6.7</v>
      </c>
      <c r="G366" s="261">
        <f t="shared" si="73"/>
        <v>6.7</v>
      </c>
      <c r="H366" s="262"/>
    </row>
    <row r="367" spans="1:8" ht="24.75" customHeight="1">
      <c r="A367" s="130"/>
      <c r="B367" s="148" t="s">
        <v>141</v>
      </c>
      <c r="C367" s="120"/>
      <c r="D367" s="104"/>
      <c r="E367" s="104"/>
      <c r="F367" s="104"/>
      <c r="G367" s="262"/>
      <c r="H367" s="262"/>
    </row>
    <row r="368" spans="1:8" ht="24.75" customHeight="1">
      <c r="A368" s="135" t="s">
        <v>420</v>
      </c>
      <c r="B368" s="227" t="s">
        <v>148</v>
      </c>
      <c r="C368" s="228">
        <v>1030</v>
      </c>
      <c r="D368" s="115">
        <f>SUM(D369)</f>
        <v>0</v>
      </c>
      <c r="E368" s="115">
        <f t="shared" ref="E368:F369" si="77">SUM(E369)</f>
        <v>0</v>
      </c>
      <c r="F368" s="115">
        <f t="shared" si="77"/>
        <v>6.7</v>
      </c>
      <c r="G368" s="263">
        <f t="shared" si="73"/>
        <v>6.7</v>
      </c>
      <c r="H368" s="262"/>
    </row>
    <row r="369" spans="1:9" ht="24.75" customHeight="1">
      <c r="A369" s="130" t="s">
        <v>421</v>
      </c>
      <c r="B369" s="128" t="s">
        <v>148</v>
      </c>
      <c r="C369" s="98">
        <v>1035</v>
      </c>
      <c r="D369" s="104">
        <f>SUM(D370)</f>
        <v>0</v>
      </c>
      <c r="E369" s="104">
        <f t="shared" si="77"/>
        <v>0</v>
      </c>
      <c r="F369" s="104">
        <f t="shared" si="77"/>
        <v>6.7</v>
      </c>
      <c r="G369" s="261">
        <f t="shared" si="73"/>
        <v>6.7</v>
      </c>
      <c r="H369" s="262"/>
    </row>
    <row r="370" spans="1:9" ht="24.75" customHeight="1">
      <c r="A370" s="162"/>
      <c r="B370" s="138" t="s">
        <v>422</v>
      </c>
      <c r="C370" s="163"/>
      <c r="D370" s="107"/>
      <c r="E370" s="107"/>
      <c r="F370" s="107">
        <v>6.7</v>
      </c>
      <c r="G370" s="262">
        <f t="shared" si="73"/>
        <v>6.7</v>
      </c>
      <c r="H370" s="262"/>
    </row>
    <row r="371" spans="1:9" ht="24.75" customHeight="1">
      <c r="A371" s="130" t="s">
        <v>423</v>
      </c>
      <c r="B371" s="137" t="s">
        <v>424</v>
      </c>
      <c r="C371" s="98"/>
      <c r="D371" s="104">
        <f>D373+D376</f>
        <v>1200.5999999999999</v>
      </c>
      <c r="E371" s="104">
        <f t="shared" ref="E371:F371" si="78">E373+E376</f>
        <v>532.79999999999995</v>
      </c>
      <c r="F371" s="104">
        <f t="shared" si="78"/>
        <v>1572.8999999999999</v>
      </c>
      <c r="G371" s="261">
        <f t="shared" si="73"/>
        <v>1040.0999999999999</v>
      </c>
      <c r="H371" s="261">
        <f>F371/E371*100</f>
        <v>295.21396396396398</v>
      </c>
    </row>
    <row r="372" spans="1:9" ht="24.75" customHeight="1">
      <c r="A372" s="164"/>
      <c r="B372" s="148" t="s">
        <v>141</v>
      </c>
      <c r="C372" s="98"/>
      <c r="D372" s="104"/>
      <c r="E372" s="104"/>
      <c r="F372" s="104"/>
      <c r="G372" s="262"/>
      <c r="H372" s="262"/>
    </row>
    <row r="373" spans="1:9" ht="30.75" customHeight="1">
      <c r="A373" s="229" t="s">
        <v>425</v>
      </c>
      <c r="B373" s="230" t="s">
        <v>145</v>
      </c>
      <c r="C373" s="114">
        <v>1010</v>
      </c>
      <c r="D373" s="115">
        <f>D374</f>
        <v>0</v>
      </c>
      <c r="E373" s="115">
        <f t="shared" ref="E373:F373" si="79">E374</f>
        <v>0</v>
      </c>
      <c r="F373" s="115">
        <f t="shared" si="79"/>
        <v>1471.3</v>
      </c>
      <c r="G373" s="263">
        <f>F373-E373</f>
        <v>1471.3</v>
      </c>
      <c r="H373" s="262"/>
    </row>
    <row r="374" spans="1:9" ht="24.75" customHeight="1">
      <c r="A374" s="164" t="s">
        <v>426</v>
      </c>
      <c r="B374" s="165" t="s">
        <v>4</v>
      </c>
      <c r="C374" s="98">
        <v>1014</v>
      </c>
      <c r="D374" s="104">
        <f>D375</f>
        <v>0</v>
      </c>
      <c r="E374" s="104"/>
      <c r="F374" s="104">
        <f>F375</f>
        <v>1471.3</v>
      </c>
      <c r="G374" s="261">
        <f t="shared" ref="G374:G377" si="80">F374-E374</f>
        <v>1471.3</v>
      </c>
      <c r="H374" s="262"/>
    </row>
    <row r="375" spans="1:9" ht="24.75" customHeight="1">
      <c r="A375" s="164"/>
      <c r="B375" s="166" t="s">
        <v>427</v>
      </c>
      <c r="C375" s="98"/>
      <c r="D375" s="107"/>
      <c r="E375" s="104"/>
      <c r="F375" s="107">
        <v>1471.3</v>
      </c>
      <c r="G375" s="262">
        <f t="shared" si="80"/>
        <v>1471.3</v>
      </c>
      <c r="H375" s="262"/>
    </row>
    <row r="376" spans="1:9" ht="24.75" customHeight="1">
      <c r="A376" s="229" t="s">
        <v>428</v>
      </c>
      <c r="B376" s="230" t="s">
        <v>147</v>
      </c>
      <c r="C376" s="114">
        <v>1020</v>
      </c>
      <c r="D376" s="115">
        <f>D377</f>
        <v>1200.5999999999999</v>
      </c>
      <c r="E376" s="115">
        <v>532.79999999999995</v>
      </c>
      <c r="F376" s="115">
        <f>F377</f>
        <v>101.6</v>
      </c>
      <c r="G376" s="263">
        <f t="shared" si="80"/>
        <v>-431.19999999999993</v>
      </c>
      <c r="H376" s="263">
        <f>F376/E376*100</f>
        <v>19.069069069069069</v>
      </c>
    </row>
    <row r="377" spans="1:9" ht="24.75" customHeight="1">
      <c r="A377" s="164" t="s">
        <v>429</v>
      </c>
      <c r="B377" s="137" t="s">
        <v>4</v>
      </c>
      <c r="C377" s="98">
        <v>1024</v>
      </c>
      <c r="D377" s="104">
        <v>1200.5999999999999</v>
      </c>
      <c r="E377" s="104">
        <v>532.79999999999995</v>
      </c>
      <c r="F377" s="104">
        <v>101.6</v>
      </c>
      <c r="G377" s="261">
        <f t="shared" si="80"/>
        <v>-431.19999999999993</v>
      </c>
      <c r="H377" s="261">
        <f>F377/E377*100</f>
        <v>19.069069069069069</v>
      </c>
    </row>
    <row r="378" spans="1:9" ht="44.25" customHeight="1">
      <c r="B378" s="242"/>
      <c r="D378" s="216"/>
      <c r="E378" s="243"/>
      <c r="F378" s="243"/>
    </row>
    <row r="379" spans="1:9" ht="34.5" customHeight="1">
      <c r="B379" s="63" t="s">
        <v>137</v>
      </c>
      <c r="C379" s="64"/>
      <c r="D379" s="370" t="s">
        <v>153</v>
      </c>
      <c r="E379" s="370"/>
      <c r="F379" s="218"/>
      <c r="G379" s="356" t="s">
        <v>625</v>
      </c>
      <c r="H379" s="356"/>
      <c r="I379" s="356"/>
    </row>
    <row r="380" spans="1:9" ht="34.5" customHeight="1">
      <c r="B380" s="219" t="s">
        <v>97</v>
      </c>
      <c r="C380" s="67"/>
      <c r="D380" s="359" t="s">
        <v>111</v>
      </c>
      <c r="E380" s="359"/>
      <c r="F380" s="217"/>
      <c r="G380" s="353" t="s">
        <v>21</v>
      </c>
      <c r="H380" s="353"/>
    </row>
    <row r="381" spans="1:9" ht="29.25" customHeight="1">
      <c r="B381" s="242"/>
      <c r="D381" s="216"/>
      <c r="E381" s="243"/>
      <c r="F381" s="243"/>
    </row>
    <row r="382" spans="1:9" ht="35.25" customHeight="1">
      <c r="B382" s="242"/>
      <c r="D382" s="216"/>
      <c r="E382" s="243"/>
      <c r="F382" s="243"/>
    </row>
    <row r="383" spans="1:9" ht="35.25" customHeight="1">
      <c r="B383" s="242"/>
      <c r="D383" s="216"/>
      <c r="E383" s="243"/>
      <c r="F383" s="243"/>
    </row>
    <row r="384" spans="1:9" s="244" customFormat="1" ht="39" customHeight="1">
      <c r="A384" s="67"/>
      <c r="B384" s="242"/>
      <c r="C384" s="219"/>
      <c r="D384" s="216"/>
      <c r="E384" s="243"/>
      <c r="F384" s="243"/>
      <c r="G384" s="67"/>
      <c r="H384" s="67"/>
    </row>
    <row r="385" spans="1:8" s="244" customFormat="1" ht="32.25" customHeight="1">
      <c r="A385" s="67"/>
      <c r="B385" s="242"/>
      <c r="C385" s="219"/>
      <c r="D385" s="216"/>
      <c r="E385" s="243"/>
      <c r="F385" s="243"/>
      <c r="G385" s="67"/>
      <c r="H385" s="67"/>
    </row>
    <row r="386" spans="1:8" s="244" customFormat="1" ht="31.5" customHeight="1">
      <c r="A386" s="67"/>
      <c r="B386" s="242"/>
      <c r="C386" s="219"/>
      <c r="D386" s="216"/>
      <c r="E386" s="243"/>
      <c r="F386" s="243"/>
      <c r="G386" s="67"/>
      <c r="H386" s="67"/>
    </row>
    <row r="387" spans="1:8" s="244" customFormat="1" ht="31.5" customHeight="1">
      <c r="A387" s="67"/>
      <c r="B387" s="242"/>
      <c r="C387" s="219"/>
      <c r="D387" s="216"/>
      <c r="E387" s="243"/>
      <c r="F387" s="243"/>
      <c r="G387" s="67"/>
      <c r="H387" s="67"/>
    </row>
    <row r="388" spans="1:8" s="244" customFormat="1" ht="29.25" customHeight="1">
      <c r="A388" s="67"/>
      <c r="B388" s="242"/>
      <c r="C388" s="219"/>
      <c r="D388" s="216"/>
      <c r="E388" s="243"/>
      <c r="F388" s="243"/>
      <c r="G388" s="67"/>
      <c r="H388" s="67"/>
    </row>
    <row r="389" spans="1:8" s="244" customFormat="1" ht="35.25" customHeight="1">
      <c r="A389" s="67"/>
      <c r="B389" s="242"/>
      <c r="C389" s="219"/>
      <c r="D389" s="216"/>
      <c r="E389" s="243"/>
      <c r="F389" s="243"/>
      <c r="G389" s="67"/>
      <c r="H389" s="67"/>
    </row>
    <row r="390" spans="1:8" s="244" customFormat="1" ht="41.25" customHeight="1">
      <c r="A390" s="67"/>
      <c r="B390" s="242"/>
      <c r="C390" s="219"/>
      <c r="D390" s="216"/>
      <c r="E390" s="243"/>
      <c r="F390" s="243"/>
      <c r="G390" s="67"/>
      <c r="H390" s="67"/>
    </row>
    <row r="391" spans="1:8" s="244" customFormat="1" ht="35.25" customHeight="1">
      <c r="A391" s="67"/>
      <c r="B391" s="242"/>
      <c r="C391" s="219"/>
      <c r="D391" s="216"/>
      <c r="E391" s="243"/>
      <c r="F391" s="243"/>
      <c r="G391" s="67"/>
      <c r="H391" s="67"/>
    </row>
    <row r="392" spans="1:8" s="244" customFormat="1" ht="41.25" customHeight="1">
      <c r="A392" s="67"/>
      <c r="B392" s="242"/>
      <c r="C392" s="219"/>
      <c r="D392" s="216"/>
      <c r="E392" s="243"/>
      <c r="F392" s="243"/>
      <c r="G392" s="67"/>
      <c r="H392" s="67"/>
    </row>
    <row r="393" spans="1:8" s="244" customFormat="1" ht="37.5" customHeight="1">
      <c r="A393" s="67"/>
      <c r="B393" s="242"/>
      <c r="C393" s="219"/>
      <c r="D393" s="216"/>
      <c r="E393" s="243"/>
      <c r="F393" s="243"/>
      <c r="G393" s="67"/>
      <c r="H393" s="67"/>
    </row>
    <row r="394" spans="1:8" s="244" customFormat="1" ht="37.5" customHeight="1">
      <c r="A394" s="67"/>
      <c r="B394" s="242"/>
      <c r="C394" s="219"/>
      <c r="D394" s="216"/>
      <c r="E394" s="243"/>
      <c r="F394" s="243"/>
      <c r="G394" s="67"/>
      <c r="H394" s="67"/>
    </row>
    <row r="395" spans="1:8" s="244" customFormat="1" ht="39" customHeight="1">
      <c r="A395" s="67"/>
      <c r="B395" s="242"/>
      <c r="C395" s="219"/>
      <c r="D395" s="216"/>
      <c r="E395" s="243"/>
      <c r="F395" s="243"/>
      <c r="G395" s="67"/>
      <c r="H395" s="67"/>
    </row>
    <row r="396" spans="1:8" s="244" customFormat="1" ht="35.25" customHeight="1">
      <c r="A396" s="67"/>
      <c r="B396" s="242"/>
      <c r="C396" s="219"/>
      <c r="D396" s="216"/>
      <c r="E396" s="243"/>
      <c r="F396" s="243"/>
      <c r="G396" s="67"/>
      <c r="H396" s="67"/>
    </row>
    <row r="397" spans="1:8" s="244" customFormat="1" ht="37.5" customHeight="1">
      <c r="A397" s="67"/>
      <c r="B397" s="242"/>
      <c r="C397" s="219"/>
      <c r="D397" s="216"/>
      <c r="E397" s="243"/>
      <c r="F397" s="243"/>
      <c r="G397" s="67"/>
      <c r="H397" s="67"/>
    </row>
    <row r="398" spans="1:8" s="244" customFormat="1" ht="31.5" customHeight="1">
      <c r="A398" s="67"/>
      <c r="B398" s="242"/>
      <c r="C398" s="219"/>
      <c r="D398" s="216"/>
      <c r="E398" s="243"/>
      <c r="F398" s="243"/>
      <c r="G398" s="67"/>
      <c r="H398" s="67"/>
    </row>
    <row r="399" spans="1:8" s="244" customFormat="1" ht="31.5" customHeight="1">
      <c r="A399" s="67"/>
      <c r="B399" s="242"/>
      <c r="C399" s="219"/>
      <c r="D399" s="216"/>
      <c r="E399" s="243"/>
      <c r="F399" s="243"/>
      <c r="G399" s="67"/>
      <c r="H399" s="67"/>
    </row>
    <row r="400" spans="1:8">
      <c r="B400" s="242"/>
      <c r="D400" s="216"/>
      <c r="E400" s="243"/>
      <c r="F400" s="243"/>
    </row>
    <row r="401" spans="2:6" ht="24.75" customHeight="1">
      <c r="B401" s="242"/>
      <c r="D401" s="216"/>
      <c r="E401" s="243"/>
      <c r="F401" s="243"/>
    </row>
    <row r="402" spans="2:6">
      <c r="B402" s="242"/>
      <c r="D402" s="216"/>
      <c r="E402" s="243"/>
      <c r="F402" s="243"/>
    </row>
    <row r="403" spans="2:6">
      <c r="B403" s="242"/>
      <c r="D403" s="216"/>
      <c r="E403" s="243"/>
      <c r="F403" s="243"/>
    </row>
    <row r="404" spans="2:6">
      <c r="B404" s="242"/>
      <c r="D404" s="216"/>
      <c r="E404" s="243"/>
      <c r="F404" s="243"/>
    </row>
    <row r="405" spans="2:6">
      <c r="B405" s="242"/>
      <c r="D405" s="216"/>
      <c r="E405" s="243"/>
      <c r="F405" s="243"/>
    </row>
    <row r="406" spans="2:6">
      <c r="B406" s="242"/>
      <c r="D406" s="216"/>
      <c r="E406" s="243"/>
      <c r="F406" s="243"/>
    </row>
    <row r="407" spans="2:6">
      <c r="B407" s="242"/>
      <c r="D407" s="216"/>
      <c r="E407" s="243"/>
      <c r="F407" s="243"/>
    </row>
    <row r="408" spans="2:6">
      <c r="B408" s="242"/>
      <c r="D408" s="216"/>
      <c r="E408" s="243"/>
      <c r="F408" s="243"/>
    </row>
    <row r="409" spans="2:6">
      <c r="B409" s="242"/>
      <c r="D409" s="216"/>
      <c r="E409" s="243"/>
      <c r="F409" s="243"/>
    </row>
    <row r="410" spans="2:6">
      <c r="B410" s="242"/>
      <c r="D410" s="216"/>
      <c r="E410" s="243"/>
      <c r="F410" s="243"/>
    </row>
    <row r="411" spans="2:6">
      <c r="B411" s="242"/>
      <c r="D411" s="216"/>
      <c r="E411" s="243"/>
      <c r="F411" s="243"/>
    </row>
    <row r="412" spans="2:6">
      <c r="B412" s="242"/>
      <c r="D412" s="216"/>
      <c r="E412" s="243"/>
      <c r="F412" s="243"/>
    </row>
    <row r="413" spans="2:6">
      <c r="B413" s="242"/>
      <c r="D413" s="216"/>
      <c r="E413" s="243"/>
      <c r="F413" s="243"/>
    </row>
    <row r="414" spans="2:6">
      <c r="B414" s="242"/>
      <c r="D414" s="216"/>
      <c r="E414" s="243"/>
      <c r="F414" s="243"/>
    </row>
    <row r="415" spans="2:6">
      <c r="B415" s="242"/>
      <c r="D415" s="216"/>
      <c r="E415" s="243"/>
      <c r="F415" s="243"/>
    </row>
    <row r="416" spans="2:6">
      <c r="B416" s="242"/>
      <c r="D416" s="216"/>
      <c r="E416" s="243"/>
      <c r="F416" s="243"/>
    </row>
    <row r="417" spans="2:6">
      <c r="B417" s="242"/>
      <c r="D417" s="216"/>
      <c r="E417" s="243"/>
      <c r="F417" s="243"/>
    </row>
    <row r="418" spans="2:6">
      <c r="B418" s="242"/>
      <c r="D418" s="216"/>
      <c r="E418" s="243"/>
      <c r="F418" s="243"/>
    </row>
    <row r="419" spans="2:6">
      <c r="B419" s="242"/>
      <c r="D419" s="216"/>
      <c r="E419" s="243"/>
      <c r="F419" s="243"/>
    </row>
    <row r="420" spans="2:6">
      <c r="B420" s="242"/>
      <c r="D420" s="216"/>
      <c r="E420" s="243"/>
      <c r="F420" s="243"/>
    </row>
    <row r="421" spans="2:6">
      <c r="B421" s="242"/>
      <c r="D421" s="216"/>
      <c r="E421" s="243"/>
      <c r="F421" s="243"/>
    </row>
    <row r="422" spans="2:6">
      <c r="B422" s="242"/>
      <c r="D422" s="216"/>
      <c r="E422" s="243"/>
      <c r="F422" s="243"/>
    </row>
    <row r="423" spans="2:6">
      <c r="B423" s="242"/>
      <c r="D423" s="216"/>
      <c r="E423" s="243"/>
      <c r="F423" s="243"/>
    </row>
    <row r="424" spans="2:6">
      <c r="B424" s="242"/>
      <c r="D424" s="216"/>
      <c r="E424" s="243"/>
      <c r="F424" s="243"/>
    </row>
    <row r="425" spans="2:6">
      <c r="B425" s="242"/>
      <c r="D425" s="216"/>
      <c r="E425" s="243"/>
      <c r="F425" s="243"/>
    </row>
    <row r="426" spans="2:6">
      <c r="B426" s="242"/>
      <c r="D426" s="216"/>
      <c r="E426" s="243"/>
      <c r="F426" s="243"/>
    </row>
    <row r="427" spans="2:6">
      <c r="B427" s="242"/>
      <c r="D427" s="216"/>
      <c r="E427" s="243"/>
      <c r="F427" s="243"/>
    </row>
    <row r="428" spans="2:6">
      <c r="B428" s="242"/>
      <c r="D428" s="216"/>
      <c r="E428" s="243"/>
      <c r="F428" s="243"/>
    </row>
    <row r="429" spans="2:6">
      <c r="B429" s="242"/>
      <c r="D429" s="216"/>
      <c r="E429" s="243"/>
      <c r="F429" s="243"/>
    </row>
    <row r="430" spans="2:6">
      <c r="B430" s="242"/>
      <c r="D430" s="216"/>
      <c r="E430" s="243"/>
      <c r="F430" s="243"/>
    </row>
    <row r="431" spans="2:6">
      <c r="B431" s="242"/>
      <c r="D431" s="216"/>
      <c r="E431" s="243"/>
      <c r="F431" s="243"/>
    </row>
    <row r="432" spans="2:6">
      <c r="B432" s="242"/>
      <c r="D432" s="216"/>
      <c r="E432" s="243"/>
      <c r="F432" s="243"/>
    </row>
    <row r="433" spans="2:6">
      <c r="B433" s="242"/>
      <c r="D433" s="216"/>
      <c r="E433" s="243"/>
      <c r="F433" s="243"/>
    </row>
    <row r="434" spans="2:6">
      <c r="B434" s="242"/>
      <c r="D434" s="216"/>
      <c r="E434" s="243"/>
      <c r="F434" s="243"/>
    </row>
    <row r="435" spans="2:6">
      <c r="B435" s="242"/>
    </row>
    <row r="436" spans="2:6">
      <c r="B436" s="245"/>
    </row>
    <row r="437" spans="2:6">
      <c r="B437" s="245"/>
    </row>
    <row r="438" spans="2:6">
      <c r="B438" s="245"/>
    </row>
    <row r="439" spans="2:6">
      <c r="B439" s="245"/>
    </row>
    <row r="440" spans="2:6">
      <c r="B440" s="245"/>
    </row>
    <row r="441" spans="2:6">
      <c r="B441" s="245"/>
    </row>
    <row r="442" spans="2:6">
      <c r="B442" s="245"/>
    </row>
    <row r="443" spans="2:6">
      <c r="B443" s="245"/>
    </row>
    <row r="444" spans="2:6">
      <c r="B444" s="245"/>
    </row>
    <row r="445" spans="2:6">
      <c r="B445" s="245"/>
    </row>
    <row r="446" spans="2:6">
      <c r="B446" s="245"/>
    </row>
    <row r="447" spans="2:6">
      <c r="B447" s="245"/>
    </row>
    <row r="448" spans="2:6">
      <c r="B448" s="245"/>
    </row>
    <row r="449" spans="2:2">
      <c r="B449" s="245"/>
    </row>
    <row r="450" spans="2:2">
      <c r="B450" s="245"/>
    </row>
    <row r="451" spans="2:2">
      <c r="B451" s="245"/>
    </row>
    <row r="452" spans="2:2">
      <c r="B452" s="245"/>
    </row>
    <row r="453" spans="2:2">
      <c r="B453" s="245"/>
    </row>
    <row r="454" spans="2:2">
      <c r="B454" s="245"/>
    </row>
    <row r="455" spans="2:2">
      <c r="B455" s="245"/>
    </row>
    <row r="456" spans="2:2">
      <c r="B456" s="245"/>
    </row>
    <row r="457" spans="2:2">
      <c r="B457" s="245"/>
    </row>
    <row r="458" spans="2:2">
      <c r="B458" s="245"/>
    </row>
    <row r="459" spans="2:2">
      <c r="B459" s="245"/>
    </row>
    <row r="460" spans="2:2">
      <c r="B460" s="245"/>
    </row>
    <row r="461" spans="2:2">
      <c r="B461" s="245"/>
    </row>
    <row r="462" spans="2:2">
      <c r="B462" s="245"/>
    </row>
    <row r="463" spans="2:2">
      <c r="B463" s="245"/>
    </row>
    <row r="464" spans="2:2">
      <c r="B464" s="245"/>
    </row>
    <row r="465" spans="2:2">
      <c r="B465" s="245"/>
    </row>
    <row r="466" spans="2:2">
      <c r="B466" s="245"/>
    </row>
    <row r="467" spans="2:2">
      <c r="B467" s="245"/>
    </row>
    <row r="468" spans="2:2">
      <c r="B468" s="245"/>
    </row>
    <row r="469" spans="2:2">
      <c r="B469" s="245"/>
    </row>
    <row r="470" spans="2:2">
      <c r="B470" s="245"/>
    </row>
    <row r="471" spans="2:2">
      <c r="B471" s="245"/>
    </row>
    <row r="472" spans="2:2">
      <c r="B472" s="245"/>
    </row>
    <row r="473" spans="2:2">
      <c r="B473" s="245"/>
    </row>
    <row r="474" spans="2:2">
      <c r="B474" s="245"/>
    </row>
    <row r="475" spans="2:2">
      <c r="B475" s="245"/>
    </row>
    <row r="476" spans="2:2">
      <c r="B476" s="245"/>
    </row>
    <row r="477" spans="2:2">
      <c r="B477" s="245"/>
    </row>
    <row r="478" spans="2:2">
      <c r="B478" s="245"/>
    </row>
    <row r="479" spans="2:2">
      <c r="B479" s="245"/>
    </row>
    <row r="480" spans="2:2">
      <c r="B480" s="245"/>
    </row>
    <row r="481" spans="2:2">
      <c r="B481" s="245"/>
    </row>
    <row r="482" spans="2:2">
      <c r="B482" s="245"/>
    </row>
    <row r="483" spans="2:2">
      <c r="B483" s="245"/>
    </row>
    <row r="484" spans="2:2">
      <c r="B484" s="245"/>
    </row>
    <row r="485" spans="2:2">
      <c r="B485" s="245"/>
    </row>
    <row r="486" spans="2:2">
      <c r="B486" s="245"/>
    </row>
    <row r="487" spans="2:2">
      <c r="B487" s="245"/>
    </row>
    <row r="488" spans="2:2">
      <c r="B488" s="245"/>
    </row>
    <row r="489" spans="2:2">
      <c r="B489" s="245"/>
    </row>
    <row r="490" spans="2:2">
      <c r="B490" s="245"/>
    </row>
    <row r="491" spans="2:2">
      <c r="B491" s="245"/>
    </row>
    <row r="492" spans="2:2">
      <c r="B492" s="245"/>
    </row>
    <row r="493" spans="2:2">
      <c r="B493" s="245"/>
    </row>
    <row r="494" spans="2:2">
      <c r="B494" s="245"/>
    </row>
    <row r="495" spans="2:2">
      <c r="B495" s="245"/>
    </row>
    <row r="496" spans="2:2">
      <c r="B496" s="245"/>
    </row>
    <row r="497" spans="2:2">
      <c r="B497" s="245"/>
    </row>
    <row r="498" spans="2:2">
      <c r="B498" s="245"/>
    </row>
    <row r="499" spans="2:2">
      <c r="B499" s="245"/>
    </row>
    <row r="500" spans="2:2">
      <c r="B500" s="245"/>
    </row>
    <row r="501" spans="2:2">
      <c r="B501" s="245"/>
    </row>
    <row r="502" spans="2:2">
      <c r="B502" s="245"/>
    </row>
    <row r="503" spans="2:2">
      <c r="B503" s="245"/>
    </row>
    <row r="504" spans="2:2">
      <c r="B504" s="245"/>
    </row>
    <row r="505" spans="2:2">
      <c r="B505" s="245"/>
    </row>
    <row r="506" spans="2:2">
      <c r="B506" s="245"/>
    </row>
    <row r="507" spans="2:2">
      <c r="B507" s="245"/>
    </row>
    <row r="508" spans="2:2">
      <c r="B508" s="245"/>
    </row>
    <row r="509" spans="2:2">
      <c r="B509" s="245"/>
    </row>
    <row r="510" spans="2:2">
      <c r="B510" s="245"/>
    </row>
    <row r="511" spans="2:2">
      <c r="B511" s="245"/>
    </row>
    <row r="512" spans="2:2">
      <c r="B512" s="245"/>
    </row>
    <row r="513" spans="2:2">
      <c r="B513" s="245"/>
    </row>
    <row r="514" spans="2:2">
      <c r="B514" s="245"/>
    </row>
    <row r="515" spans="2:2">
      <c r="B515" s="245"/>
    </row>
    <row r="516" spans="2:2">
      <c r="B516" s="245"/>
    </row>
    <row r="517" spans="2:2">
      <c r="B517" s="245"/>
    </row>
    <row r="518" spans="2:2">
      <c r="B518" s="245"/>
    </row>
    <row r="519" spans="2:2">
      <c r="B519" s="245"/>
    </row>
    <row r="520" spans="2:2">
      <c r="B520" s="245"/>
    </row>
    <row r="521" spans="2:2">
      <c r="B521" s="245"/>
    </row>
    <row r="522" spans="2:2">
      <c r="B522" s="245"/>
    </row>
    <row r="523" spans="2:2">
      <c r="B523" s="245"/>
    </row>
    <row r="524" spans="2:2">
      <c r="B524" s="245"/>
    </row>
    <row r="525" spans="2:2">
      <c r="B525" s="245"/>
    </row>
    <row r="526" spans="2:2">
      <c r="B526" s="245"/>
    </row>
    <row r="527" spans="2:2">
      <c r="B527" s="245"/>
    </row>
    <row r="528" spans="2:2">
      <c r="B528" s="245"/>
    </row>
    <row r="529" spans="2:2">
      <c r="B529" s="245"/>
    </row>
    <row r="530" spans="2:2">
      <c r="B530" s="245"/>
    </row>
    <row r="531" spans="2:2">
      <c r="B531" s="245"/>
    </row>
    <row r="532" spans="2:2">
      <c r="B532" s="245"/>
    </row>
    <row r="533" spans="2:2">
      <c r="B533" s="245"/>
    </row>
    <row r="534" spans="2:2">
      <c r="B534" s="245"/>
    </row>
    <row r="535" spans="2:2">
      <c r="B535" s="245"/>
    </row>
    <row r="536" spans="2:2">
      <c r="B536" s="245"/>
    </row>
    <row r="537" spans="2:2">
      <c r="B537" s="245"/>
    </row>
    <row r="538" spans="2:2">
      <c r="B538" s="245"/>
    </row>
    <row r="539" spans="2:2">
      <c r="B539" s="245"/>
    </row>
    <row r="540" spans="2:2">
      <c r="B540" s="245"/>
    </row>
    <row r="541" spans="2:2">
      <c r="B541" s="245"/>
    </row>
    <row r="542" spans="2:2">
      <c r="B542" s="245"/>
    </row>
    <row r="543" spans="2:2">
      <c r="B543" s="245"/>
    </row>
    <row r="544" spans="2:2">
      <c r="B544" s="245"/>
    </row>
    <row r="545" spans="2:2">
      <c r="B545" s="245"/>
    </row>
    <row r="546" spans="2:2">
      <c r="B546" s="245"/>
    </row>
    <row r="547" spans="2:2">
      <c r="B547" s="245"/>
    </row>
    <row r="548" spans="2:2">
      <c r="B548" s="245"/>
    </row>
    <row r="549" spans="2:2">
      <c r="B549" s="245"/>
    </row>
    <row r="550" spans="2:2">
      <c r="B550" s="245"/>
    </row>
    <row r="551" spans="2:2">
      <c r="B551" s="245"/>
    </row>
    <row r="552" spans="2:2">
      <c r="B552" s="245"/>
    </row>
    <row r="553" spans="2:2">
      <c r="B553" s="245"/>
    </row>
    <row r="554" spans="2:2">
      <c r="B554" s="245"/>
    </row>
    <row r="555" spans="2:2">
      <c r="B555" s="245"/>
    </row>
    <row r="556" spans="2:2">
      <c r="B556" s="245"/>
    </row>
    <row r="557" spans="2:2">
      <c r="B557" s="245"/>
    </row>
    <row r="558" spans="2:2">
      <c r="B558" s="245"/>
    </row>
    <row r="559" spans="2:2">
      <c r="B559" s="245"/>
    </row>
    <row r="560" spans="2:2">
      <c r="B560" s="245"/>
    </row>
    <row r="561" spans="2:2">
      <c r="B561" s="245"/>
    </row>
    <row r="562" spans="2:2">
      <c r="B562" s="245"/>
    </row>
    <row r="563" spans="2:2">
      <c r="B563" s="245"/>
    </row>
    <row r="564" spans="2:2">
      <c r="B564" s="245"/>
    </row>
    <row r="565" spans="2:2">
      <c r="B565" s="245"/>
    </row>
    <row r="566" spans="2:2">
      <c r="B566" s="245"/>
    </row>
    <row r="567" spans="2:2">
      <c r="B567" s="245"/>
    </row>
    <row r="568" spans="2:2">
      <c r="B568" s="245"/>
    </row>
    <row r="569" spans="2:2">
      <c r="B569" s="245"/>
    </row>
    <row r="570" spans="2:2">
      <c r="B570" s="245"/>
    </row>
    <row r="571" spans="2:2">
      <c r="B571" s="245"/>
    </row>
    <row r="572" spans="2:2">
      <c r="B572" s="245"/>
    </row>
    <row r="573" spans="2:2">
      <c r="B573" s="245"/>
    </row>
    <row r="574" spans="2:2">
      <c r="B574" s="245"/>
    </row>
    <row r="575" spans="2:2">
      <c r="B575" s="245"/>
    </row>
    <row r="576" spans="2:2">
      <c r="B576" s="245"/>
    </row>
    <row r="577" spans="2:2">
      <c r="B577" s="245"/>
    </row>
    <row r="578" spans="2:2">
      <c r="B578" s="245"/>
    </row>
    <row r="579" spans="2:2">
      <c r="B579" s="245"/>
    </row>
    <row r="580" spans="2:2">
      <c r="B580" s="245"/>
    </row>
    <row r="581" spans="2:2">
      <c r="B581" s="245"/>
    </row>
    <row r="582" spans="2:2">
      <c r="B582" s="245"/>
    </row>
    <row r="583" spans="2:2">
      <c r="B583" s="245"/>
    </row>
    <row r="584" spans="2:2">
      <c r="B584" s="245"/>
    </row>
    <row r="585" spans="2:2">
      <c r="B585" s="245"/>
    </row>
    <row r="586" spans="2:2">
      <c r="B586" s="245"/>
    </row>
    <row r="587" spans="2:2">
      <c r="B587" s="245"/>
    </row>
    <row r="588" spans="2:2">
      <c r="B588" s="245"/>
    </row>
    <row r="589" spans="2:2">
      <c r="B589" s="245"/>
    </row>
    <row r="590" spans="2:2">
      <c r="B590" s="245"/>
    </row>
    <row r="591" spans="2:2">
      <c r="B591" s="245"/>
    </row>
    <row r="592" spans="2:2">
      <c r="B592" s="245"/>
    </row>
    <row r="593" spans="2:2">
      <c r="B593" s="245"/>
    </row>
    <row r="594" spans="2:2">
      <c r="B594" s="245"/>
    </row>
    <row r="595" spans="2:2">
      <c r="B595" s="245"/>
    </row>
    <row r="596" spans="2:2">
      <c r="B596" s="245"/>
    </row>
    <row r="597" spans="2:2">
      <c r="B597" s="245"/>
    </row>
    <row r="598" spans="2:2">
      <c r="B598" s="245"/>
    </row>
    <row r="599" spans="2:2">
      <c r="B599" s="245"/>
    </row>
    <row r="600" spans="2:2">
      <c r="B600" s="245"/>
    </row>
    <row r="601" spans="2:2">
      <c r="B601" s="245"/>
    </row>
    <row r="602" spans="2:2">
      <c r="B602" s="245"/>
    </row>
  </sheetData>
  <mergeCells count="6">
    <mergeCell ref="D379:E379"/>
    <mergeCell ref="D380:E380"/>
    <mergeCell ref="B2:H2"/>
    <mergeCell ref="A6:B6"/>
    <mergeCell ref="G380:H380"/>
    <mergeCell ref="G379:I379"/>
  </mergeCells>
  <pageMargins left="0.23622047244094491" right="0.15748031496062992" top="0.19685039370078741" bottom="0.19685039370078741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62"/>
  <sheetViews>
    <sheetView view="pageBreakPreview" zoomScale="70" zoomScaleNormal="100" zoomScaleSheetLayoutView="70" workbookViewId="0">
      <selection activeCell="D26" sqref="D26"/>
    </sheetView>
  </sheetViews>
  <sheetFormatPr defaultRowHeight="18.75"/>
  <cols>
    <col min="1" max="1" width="66.5703125" style="43" customWidth="1"/>
    <col min="2" max="2" width="12" style="69" customWidth="1"/>
    <col min="3" max="3" width="16.140625" style="69" customWidth="1"/>
    <col min="4" max="4" width="16.7109375" style="69" customWidth="1"/>
    <col min="5" max="5" width="16.140625" style="69" customWidth="1"/>
    <col min="6" max="6" width="16" style="69" customWidth="1"/>
    <col min="7" max="7" width="16.42578125" style="43" customWidth="1"/>
    <col min="8" max="16384" width="9.140625" style="43"/>
  </cols>
  <sheetData>
    <row r="2" spans="1:8" ht="20.25">
      <c r="A2" s="357" t="s">
        <v>165</v>
      </c>
      <c r="B2" s="357"/>
      <c r="C2" s="357"/>
      <c r="D2" s="357"/>
      <c r="E2" s="357"/>
      <c r="F2" s="357"/>
    </row>
    <row r="3" spans="1:8">
      <c r="A3" s="44"/>
      <c r="B3" s="45"/>
      <c r="C3" s="44"/>
      <c r="D3" s="44"/>
      <c r="E3" s="44"/>
      <c r="F3" s="45"/>
      <c r="G3" s="43" t="s">
        <v>110</v>
      </c>
    </row>
    <row r="4" spans="1:8" ht="61.5" customHeight="1">
      <c r="A4" s="47" t="s">
        <v>34</v>
      </c>
      <c r="B4" s="48" t="s">
        <v>5</v>
      </c>
      <c r="C4" s="48" t="s">
        <v>635</v>
      </c>
      <c r="D4" s="48" t="s">
        <v>636</v>
      </c>
      <c r="E4" s="48" t="s">
        <v>637</v>
      </c>
      <c r="F4" s="74" t="s">
        <v>184</v>
      </c>
      <c r="G4" s="75" t="s">
        <v>189</v>
      </c>
    </row>
    <row r="5" spans="1:8" ht="19.5" customHeight="1">
      <c r="A5" s="50">
        <v>1</v>
      </c>
      <c r="B5" s="3">
        <v>2</v>
      </c>
      <c r="C5" s="3">
        <v>3</v>
      </c>
      <c r="D5" s="3">
        <v>4</v>
      </c>
      <c r="E5" s="3">
        <v>5</v>
      </c>
      <c r="F5" s="3">
        <v>6</v>
      </c>
      <c r="G5" s="49">
        <v>7</v>
      </c>
    </row>
    <row r="6" spans="1:8" ht="26.25" customHeight="1">
      <c r="A6" s="58" t="s">
        <v>22</v>
      </c>
      <c r="B6" s="3"/>
      <c r="C6" s="56"/>
      <c r="D6" s="56"/>
      <c r="E6" s="56"/>
      <c r="F6" s="56"/>
      <c r="G6" s="81"/>
    </row>
    <row r="7" spans="1:8" ht="50.25" customHeight="1">
      <c r="A7" s="235" t="s">
        <v>112</v>
      </c>
      <c r="B7" s="266">
        <v>3000</v>
      </c>
      <c r="C7" s="82"/>
      <c r="D7" s="82"/>
      <c r="E7" s="82"/>
      <c r="F7" s="82"/>
      <c r="G7" s="83"/>
    </row>
    <row r="8" spans="1:8" ht="24.75" customHeight="1">
      <c r="A8" s="137" t="s">
        <v>84</v>
      </c>
      <c r="B8" s="51">
        <v>3010</v>
      </c>
      <c r="C8" s="55">
        <f t="shared" ref="C8:D8" si="0">SUM(C9:C12)</f>
        <v>245.1</v>
      </c>
      <c r="D8" s="55">
        <f t="shared" si="0"/>
        <v>37897.5</v>
      </c>
      <c r="E8" s="55">
        <f>SUM(E9:E12)</f>
        <v>46868.6</v>
      </c>
      <c r="F8" s="55">
        <f t="shared" ref="F8:F32" si="1">E8-D8</f>
        <v>8971.0999999999985</v>
      </c>
      <c r="G8" s="265">
        <f t="shared" ref="G8:G128" si="2">(E8/D8)*100</f>
        <v>123.67201002704664</v>
      </c>
      <c r="H8" s="57"/>
    </row>
    <row r="9" spans="1:8" ht="39" customHeight="1">
      <c r="A9" s="100" t="s">
        <v>430</v>
      </c>
      <c r="B9" s="106"/>
      <c r="C9" s="107"/>
      <c r="D9" s="107">
        <v>37597.5</v>
      </c>
      <c r="E9" s="107">
        <f>46077.8-998.5+0.1</f>
        <v>45079.4</v>
      </c>
      <c r="F9" s="56">
        <f t="shared" si="1"/>
        <v>7481.9000000000015</v>
      </c>
      <c r="G9" s="81">
        <f t="shared" si="2"/>
        <v>119.89999335062171</v>
      </c>
    </row>
    <row r="10" spans="1:8" ht="24.75" customHeight="1">
      <c r="A10" s="100" t="s">
        <v>431</v>
      </c>
      <c r="B10" s="106"/>
      <c r="C10" s="107">
        <v>245.1</v>
      </c>
      <c r="D10" s="107">
        <v>300</v>
      </c>
      <c r="E10" s="107">
        <v>1138.4000000000001</v>
      </c>
      <c r="F10" s="56">
        <f t="shared" si="1"/>
        <v>838.40000000000009</v>
      </c>
      <c r="G10" s="81">
        <f t="shared" si="2"/>
        <v>379.4666666666667</v>
      </c>
    </row>
    <row r="11" spans="1:8" ht="24.75" customHeight="1">
      <c r="A11" s="100" t="s">
        <v>460</v>
      </c>
      <c r="B11" s="106"/>
      <c r="C11" s="107"/>
      <c r="D11" s="107"/>
      <c r="E11" s="107">
        <v>467.7</v>
      </c>
      <c r="F11" s="56">
        <f t="shared" si="1"/>
        <v>467.7</v>
      </c>
      <c r="G11" s="81"/>
    </row>
    <row r="12" spans="1:8" ht="21" customHeight="1">
      <c r="A12" s="100" t="s">
        <v>461</v>
      </c>
      <c r="B12" s="106"/>
      <c r="C12" s="107"/>
      <c r="D12" s="107"/>
      <c r="E12" s="107">
        <v>183.1</v>
      </c>
      <c r="F12" s="56">
        <f t="shared" si="1"/>
        <v>183.1</v>
      </c>
      <c r="G12" s="81"/>
    </row>
    <row r="13" spans="1:8" ht="24.75" customHeight="1">
      <c r="A13" s="137" t="s">
        <v>113</v>
      </c>
      <c r="B13" s="51">
        <v>3020</v>
      </c>
      <c r="C13" s="55">
        <f>C14+C15+C16</f>
        <v>54314.1</v>
      </c>
      <c r="D13" s="55">
        <f t="shared" ref="D13:E13" si="3">D14+D15+D16</f>
        <v>21449.599999999999</v>
      </c>
      <c r="E13" s="55">
        <f t="shared" si="3"/>
        <v>28394</v>
      </c>
      <c r="F13" s="55">
        <f t="shared" si="1"/>
        <v>6944.4000000000015</v>
      </c>
      <c r="G13" s="265">
        <f t="shared" si="2"/>
        <v>132.37542891242728</v>
      </c>
    </row>
    <row r="14" spans="1:8" ht="24.75" customHeight="1">
      <c r="A14" s="100" t="s">
        <v>434</v>
      </c>
      <c r="B14" s="106"/>
      <c r="C14" s="107">
        <v>46323</v>
      </c>
      <c r="D14" s="107">
        <v>12532.5</v>
      </c>
      <c r="E14" s="107">
        <v>12532.5</v>
      </c>
      <c r="F14" s="55">
        <f t="shared" si="1"/>
        <v>0</v>
      </c>
      <c r="G14" s="81">
        <f t="shared" si="2"/>
        <v>100</v>
      </c>
    </row>
    <row r="15" spans="1:8" ht="40.5" customHeight="1">
      <c r="A15" s="171" t="s">
        <v>462</v>
      </c>
      <c r="B15" s="106"/>
      <c r="C15" s="107">
        <v>380</v>
      </c>
      <c r="D15" s="107"/>
      <c r="E15" s="107">
        <v>27.3</v>
      </c>
      <c r="F15" s="56">
        <f t="shared" si="1"/>
        <v>27.3</v>
      </c>
      <c r="G15" s="265"/>
    </row>
    <row r="16" spans="1:8" ht="21" customHeight="1">
      <c r="A16" s="100" t="s">
        <v>436</v>
      </c>
      <c r="B16" s="106"/>
      <c r="C16" s="107">
        <v>7611.1</v>
      </c>
      <c r="D16" s="107">
        <v>8917.1</v>
      </c>
      <c r="E16" s="107">
        <f>15861.9-0.3-27.4</f>
        <v>15834.2</v>
      </c>
      <c r="F16" s="56">
        <f t="shared" si="1"/>
        <v>6917.1</v>
      </c>
      <c r="G16" s="81">
        <f t="shared" si="2"/>
        <v>177.57118345650491</v>
      </c>
    </row>
    <row r="17" spans="1:7" ht="24.75" customHeight="1">
      <c r="A17" s="137" t="s">
        <v>114</v>
      </c>
      <c r="B17" s="51">
        <v>3040</v>
      </c>
      <c r="C17" s="55">
        <f>SUM(C18:C23)</f>
        <v>2559.1</v>
      </c>
      <c r="D17" s="55">
        <f t="shared" ref="D17:E17" si="4">SUM(D18:D23)</f>
        <v>1915.9</v>
      </c>
      <c r="E17" s="55">
        <f t="shared" si="4"/>
        <v>493.59999999999997</v>
      </c>
      <c r="F17" s="55">
        <f t="shared" si="1"/>
        <v>-1422.3000000000002</v>
      </c>
      <c r="G17" s="265">
        <f t="shared" si="2"/>
        <v>25.763348817787985</v>
      </c>
    </row>
    <row r="18" spans="1:7" ht="37.5" customHeight="1">
      <c r="A18" s="100" t="s">
        <v>463</v>
      </c>
      <c r="B18" s="106"/>
      <c r="C18" s="107">
        <v>1140.0999999999999</v>
      </c>
      <c r="D18" s="107">
        <v>1029</v>
      </c>
      <c r="E18" s="107"/>
      <c r="F18" s="56">
        <f t="shared" si="1"/>
        <v>-1029</v>
      </c>
      <c r="G18" s="265">
        <f t="shared" si="2"/>
        <v>0</v>
      </c>
    </row>
    <row r="19" spans="1:7" ht="39" customHeight="1">
      <c r="A19" s="100" t="s">
        <v>464</v>
      </c>
      <c r="B19" s="106"/>
      <c r="C19" s="107">
        <v>9.3000000000000007</v>
      </c>
      <c r="D19" s="107">
        <v>9.3000000000000007</v>
      </c>
      <c r="E19" s="107">
        <v>1.8</v>
      </c>
      <c r="F19" s="56">
        <f t="shared" si="1"/>
        <v>-7.5000000000000009</v>
      </c>
      <c r="G19" s="81">
        <f t="shared" si="2"/>
        <v>19.35483870967742</v>
      </c>
    </row>
    <row r="20" spans="1:7" ht="24.75" customHeight="1">
      <c r="A20" s="100" t="s">
        <v>460</v>
      </c>
      <c r="B20" s="106"/>
      <c r="C20" s="107">
        <v>613.5</v>
      </c>
      <c r="D20" s="107">
        <v>805.7</v>
      </c>
      <c r="E20" s="107"/>
      <c r="F20" s="56">
        <f t="shared" si="1"/>
        <v>-805.7</v>
      </c>
      <c r="G20" s="81">
        <f t="shared" si="2"/>
        <v>0</v>
      </c>
    </row>
    <row r="21" spans="1:7" ht="24.75" customHeight="1">
      <c r="A21" s="100" t="s">
        <v>465</v>
      </c>
      <c r="B21" s="106"/>
      <c r="C21" s="107">
        <v>66.400000000000006</v>
      </c>
      <c r="D21" s="107">
        <v>71.900000000000006</v>
      </c>
      <c r="E21" s="107">
        <v>44.4</v>
      </c>
      <c r="F21" s="56">
        <f t="shared" si="1"/>
        <v>-27.500000000000007</v>
      </c>
      <c r="G21" s="81">
        <f t="shared" si="2"/>
        <v>61.752433936022243</v>
      </c>
    </row>
    <row r="22" spans="1:7" ht="24.75" customHeight="1">
      <c r="A22" s="100" t="s">
        <v>466</v>
      </c>
      <c r="B22" s="106"/>
      <c r="C22" s="107">
        <v>729.8</v>
      </c>
      <c r="D22" s="107"/>
      <c r="E22" s="167">
        <v>418.7</v>
      </c>
      <c r="F22" s="56">
        <f t="shared" si="1"/>
        <v>418.7</v>
      </c>
      <c r="G22" s="265"/>
    </row>
    <row r="23" spans="1:7" ht="21" customHeight="1">
      <c r="A23" s="100" t="s">
        <v>467</v>
      </c>
      <c r="B23" s="106"/>
      <c r="C23" s="107"/>
      <c r="D23" s="107"/>
      <c r="E23" s="167">
        <v>28.7</v>
      </c>
      <c r="F23" s="56">
        <f t="shared" si="1"/>
        <v>28.7</v>
      </c>
      <c r="G23" s="81"/>
    </row>
    <row r="24" spans="1:7" ht="41.25" customHeight="1">
      <c r="A24" s="235" t="s">
        <v>60</v>
      </c>
      <c r="B24" s="266"/>
      <c r="C24" s="82"/>
      <c r="D24" s="82"/>
      <c r="E24" s="82"/>
      <c r="F24" s="82"/>
      <c r="G24" s="83"/>
    </row>
    <row r="25" spans="1:7" ht="24.75" customHeight="1">
      <c r="A25" s="137" t="s">
        <v>58</v>
      </c>
      <c r="B25" s="51">
        <v>3139</v>
      </c>
      <c r="C25" s="55">
        <f>C26+C27+C28</f>
        <v>110.7</v>
      </c>
      <c r="D25" s="55">
        <f t="shared" ref="D25:E25" si="5">D26+D27+D28</f>
        <v>103.60000000000001</v>
      </c>
      <c r="E25" s="55">
        <f t="shared" si="5"/>
        <v>99.500000000000014</v>
      </c>
      <c r="F25" s="55">
        <f t="shared" si="1"/>
        <v>-4.0999999999999943</v>
      </c>
      <c r="G25" s="265">
        <f t="shared" si="2"/>
        <v>96.04247104247105</v>
      </c>
    </row>
    <row r="26" spans="1:7" ht="24.75" customHeight="1">
      <c r="A26" s="178" t="s">
        <v>468</v>
      </c>
      <c r="B26" s="142"/>
      <c r="C26" s="107">
        <v>25.7</v>
      </c>
      <c r="D26" s="107">
        <v>25.2</v>
      </c>
      <c r="E26" s="107">
        <v>26.6</v>
      </c>
      <c r="F26" s="56">
        <f t="shared" si="1"/>
        <v>1.4000000000000021</v>
      </c>
      <c r="G26" s="81">
        <f t="shared" si="2"/>
        <v>105.55555555555556</v>
      </c>
    </row>
    <row r="27" spans="1:7" ht="24.75" customHeight="1">
      <c r="A27" s="178" t="s">
        <v>469</v>
      </c>
      <c r="B27" s="142"/>
      <c r="C27" s="107">
        <v>83.3</v>
      </c>
      <c r="D27" s="107">
        <v>78.400000000000006</v>
      </c>
      <c r="E27" s="107">
        <v>66.2</v>
      </c>
      <c r="F27" s="56">
        <f t="shared" si="1"/>
        <v>-12.200000000000003</v>
      </c>
      <c r="G27" s="81">
        <f t="shared" si="2"/>
        <v>84.438775510204081</v>
      </c>
    </row>
    <row r="28" spans="1:7" ht="21" customHeight="1">
      <c r="A28" s="178" t="s">
        <v>470</v>
      </c>
      <c r="B28" s="142"/>
      <c r="C28" s="107">
        <v>1.7</v>
      </c>
      <c r="D28" s="107"/>
      <c r="E28" s="107">
        <v>6.7</v>
      </c>
      <c r="F28" s="56">
        <f t="shared" si="1"/>
        <v>6.7</v>
      </c>
      <c r="G28" s="81"/>
    </row>
    <row r="29" spans="1:7" ht="33.75" customHeight="1">
      <c r="A29" s="58" t="s">
        <v>23</v>
      </c>
      <c r="B29" s="3"/>
      <c r="C29" s="56"/>
      <c r="D29" s="56"/>
      <c r="E29" s="56"/>
      <c r="F29" s="56"/>
      <c r="G29" s="81"/>
    </row>
    <row r="30" spans="1:7" ht="42" customHeight="1">
      <c r="A30" s="235" t="s">
        <v>66</v>
      </c>
      <c r="B30" s="266">
        <v>3200</v>
      </c>
      <c r="C30" s="159">
        <f>SUM(C31)</f>
        <v>4033.7</v>
      </c>
      <c r="D30" s="159">
        <f t="shared" ref="D30:E30" si="6">SUM(D31)</f>
        <v>7334.4</v>
      </c>
      <c r="E30" s="159">
        <f t="shared" si="6"/>
        <v>9723.7999999999993</v>
      </c>
      <c r="F30" s="159">
        <f t="shared" si="1"/>
        <v>2389.3999999999996</v>
      </c>
      <c r="G30" s="267">
        <f t="shared" si="2"/>
        <v>132.57798865619546</v>
      </c>
    </row>
    <row r="31" spans="1:7" ht="24.75" customHeight="1">
      <c r="A31" s="137" t="s">
        <v>114</v>
      </c>
      <c r="B31" s="51">
        <v>3210</v>
      </c>
      <c r="C31" s="55">
        <f>SUM(C32)</f>
        <v>4033.7</v>
      </c>
      <c r="D31" s="55">
        <f t="shared" ref="D31:E31" si="7">SUM(D32)</f>
        <v>7334.4</v>
      </c>
      <c r="E31" s="55">
        <f t="shared" si="7"/>
        <v>9723.7999999999993</v>
      </c>
      <c r="F31" s="55">
        <f t="shared" si="1"/>
        <v>2389.3999999999996</v>
      </c>
      <c r="G31" s="265">
        <f t="shared" si="2"/>
        <v>132.57798865619546</v>
      </c>
    </row>
    <row r="32" spans="1:7" ht="21" customHeight="1">
      <c r="A32" s="100" t="s">
        <v>436</v>
      </c>
      <c r="B32" s="142"/>
      <c r="C32" s="107">
        <v>4033.7</v>
      </c>
      <c r="D32" s="107">
        <v>7334.4</v>
      </c>
      <c r="E32" s="107">
        <v>9723.7999999999993</v>
      </c>
      <c r="F32" s="56">
        <f t="shared" si="1"/>
        <v>2389.3999999999996</v>
      </c>
      <c r="G32" s="81">
        <f t="shared" si="2"/>
        <v>132.57798865619546</v>
      </c>
    </row>
    <row r="33" spans="1:7" ht="44.25" customHeight="1">
      <c r="A33" s="235" t="s">
        <v>67</v>
      </c>
      <c r="B33" s="266"/>
      <c r="C33" s="82"/>
      <c r="D33" s="82"/>
      <c r="E33" s="82"/>
      <c r="F33" s="82"/>
      <c r="G33" s="83"/>
    </row>
    <row r="34" spans="1:7" ht="45" customHeight="1">
      <c r="A34" s="138" t="s">
        <v>101</v>
      </c>
      <c r="B34" s="3">
        <v>3260</v>
      </c>
      <c r="C34" s="82"/>
      <c r="D34" s="82"/>
      <c r="E34" s="82"/>
      <c r="F34" s="56"/>
      <c r="G34" s="81"/>
    </row>
    <row r="35" spans="1:7" s="57" customFormat="1" ht="45" customHeight="1">
      <c r="A35" s="137" t="s">
        <v>193</v>
      </c>
      <c r="B35" s="2">
        <v>3266</v>
      </c>
      <c r="C35" s="55">
        <f>SUM(C36:C83)</f>
        <v>1073.3</v>
      </c>
      <c r="D35" s="55">
        <f t="shared" ref="D35:E35" si="8">SUM(D36:D83)</f>
        <v>4927.8</v>
      </c>
      <c r="E35" s="55">
        <f t="shared" si="8"/>
        <v>5896.7999999999993</v>
      </c>
      <c r="F35" s="55">
        <f>E35-D35</f>
        <v>968.99999999999909</v>
      </c>
      <c r="G35" s="265">
        <f>E35/D35*100</f>
        <v>119.66394740046266</v>
      </c>
    </row>
    <row r="36" spans="1:7" s="57" customFormat="1">
      <c r="A36" s="181" t="s">
        <v>471</v>
      </c>
      <c r="B36" s="155"/>
      <c r="C36" s="104"/>
      <c r="D36" s="104"/>
      <c r="E36" s="56">
        <v>8.5</v>
      </c>
      <c r="F36" s="56">
        <f t="shared" ref="F36:F99" si="9">E36-D36</f>
        <v>8.5</v>
      </c>
      <c r="G36" s="81"/>
    </row>
    <row r="37" spans="1:7" s="57" customFormat="1">
      <c r="A37" s="181" t="s">
        <v>472</v>
      </c>
      <c r="B37" s="155"/>
      <c r="C37" s="104"/>
      <c r="D37" s="104"/>
      <c r="E37" s="56">
        <v>10.6</v>
      </c>
      <c r="F37" s="56">
        <f t="shared" si="9"/>
        <v>10.6</v>
      </c>
      <c r="G37" s="81"/>
    </row>
    <row r="38" spans="1:7" s="57" customFormat="1">
      <c r="A38" s="181" t="s">
        <v>473</v>
      </c>
      <c r="B38" s="155"/>
      <c r="C38" s="104"/>
      <c r="D38" s="104"/>
      <c r="E38" s="56">
        <v>15.8</v>
      </c>
      <c r="F38" s="56">
        <f t="shared" si="9"/>
        <v>15.8</v>
      </c>
      <c r="G38" s="81"/>
    </row>
    <row r="39" spans="1:7" s="57" customFormat="1">
      <c r="A39" s="181" t="s">
        <v>474</v>
      </c>
      <c r="B39" s="155"/>
      <c r="C39" s="104"/>
      <c r="D39" s="104"/>
      <c r="E39" s="182">
        <v>148</v>
      </c>
      <c r="F39" s="56">
        <f t="shared" si="9"/>
        <v>148</v>
      </c>
      <c r="G39" s="81"/>
    </row>
    <row r="40" spans="1:7" s="57" customFormat="1" ht="18" customHeight="1">
      <c r="A40" s="181" t="s">
        <v>475</v>
      </c>
      <c r="B40" s="155"/>
      <c r="C40" s="104"/>
      <c r="D40" s="104"/>
      <c r="E40" s="56">
        <v>49</v>
      </c>
      <c r="F40" s="56">
        <f t="shared" si="9"/>
        <v>49</v>
      </c>
      <c r="G40" s="81"/>
    </row>
    <row r="41" spans="1:7" s="57" customFormat="1">
      <c r="A41" s="181" t="s">
        <v>476</v>
      </c>
      <c r="B41" s="155"/>
      <c r="C41" s="104"/>
      <c r="D41" s="104"/>
      <c r="E41" s="56">
        <v>40.799999999999997</v>
      </c>
      <c r="F41" s="56">
        <f t="shared" si="9"/>
        <v>40.799999999999997</v>
      </c>
      <c r="G41" s="81"/>
    </row>
    <row r="42" spans="1:7" s="57" customFormat="1">
      <c r="A42" s="181" t="s">
        <v>477</v>
      </c>
      <c r="B42" s="155"/>
      <c r="C42" s="104"/>
      <c r="D42" s="104"/>
      <c r="E42" s="56">
        <v>604.70000000000005</v>
      </c>
      <c r="F42" s="56">
        <f t="shared" si="9"/>
        <v>604.70000000000005</v>
      </c>
      <c r="G42" s="81"/>
    </row>
    <row r="43" spans="1:7" s="57" customFormat="1">
      <c r="A43" s="117" t="s">
        <v>478</v>
      </c>
      <c r="B43" s="155"/>
      <c r="C43" s="104"/>
      <c r="D43" s="104"/>
      <c r="E43" s="56">
        <v>189.9</v>
      </c>
      <c r="F43" s="56">
        <f t="shared" si="9"/>
        <v>189.9</v>
      </c>
      <c r="G43" s="81"/>
    </row>
    <row r="44" spans="1:7" s="57" customFormat="1">
      <c r="A44" s="181" t="s">
        <v>479</v>
      </c>
      <c r="B44" s="155"/>
      <c r="C44" s="104"/>
      <c r="D44" s="104"/>
      <c r="E44" s="56">
        <v>175.7</v>
      </c>
      <c r="F44" s="56">
        <f t="shared" si="9"/>
        <v>175.7</v>
      </c>
      <c r="G44" s="81"/>
    </row>
    <row r="45" spans="1:7" s="57" customFormat="1">
      <c r="A45" s="181" t="s">
        <v>480</v>
      </c>
      <c r="B45" s="155"/>
      <c r="C45" s="104"/>
      <c r="D45" s="104"/>
      <c r="E45" s="56">
        <f>80.8+80.9</f>
        <v>161.69999999999999</v>
      </c>
      <c r="F45" s="56">
        <f t="shared" si="9"/>
        <v>161.69999999999999</v>
      </c>
      <c r="G45" s="81"/>
    </row>
    <row r="46" spans="1:7" s="57" customFormat="1">
      <c r="A46" s="117" t="s">
        <v>481</v>
      </c>
      <c r="B46" s="155"/>
      <c r="C46" s="104"/>
      <c r="D46" s="104"/>
      <c r="E46" s="56">
        <v>67.900000000000006</v>
      </c>
      <c r="F46" s="56">
        <f t="shared" si="9"/>
        <v>67.900000000000006</v>
      </c>
      <c r="G46" s="81"/>
    </row>
    <row r="47" spans="1:7" s="57" customFormat="1">
      <c r="A47" s="117" t="s">
        <v>482</v>
      </c>
      <c r="B47" s="155"/>
      <c r="C47" s="104"/>
      <c r="D47" s="104"/>
      <c r="E47" s="56">
        <v>59.9</v>
      </c>
      <c r="F47" s="56">
        <f t="shared" si="9"/>
        <v>59.9</v>
      </c>
      <c r="G47" s="81"/>
    </row>
    <row r="48" spans="1:7" s="57" customFormat="1" ht="37.5">
      <c r="A48" s="117" t="s">
        <v>483</v>
      </c>
      <c r="B48" s="155"/>
      <c r="C48" s="104"/>
      <c r="D48" s="104"/>
      <c r="E48" s="56">
        <f>118.4+126.6</f>
        <v>245</v>
      </c>
      <c r="F48" s="56">
        <f t="shared" si="9"/>
        <v>245</v>
      </c>
      <c r="G48" s="81"/>
    </row>
    <row r="49" spans="1:7" s="57" customFormat="1">
      <c r="A49" s="117" t="s">
        <v>484</v>
      </c>
      <c r="B49" s="155"/>
      <c r="C49" s="104"/>
      <c r="D49" s="104"/>
      <c r="E49" s="56">
        <v>1348.6</v>
      </c>
      <c r="F49" s="56">
        <f t="shared" si="9"/>
        <v>1348.6</v>
      </c>
      <c r="G49" s="81"/>
    </row>
    <row r="50" spans="1:7" s="57" customFormat="1">
      <c r="A50" s="181" t="s">
        <v>485</v>
      </c>
      <c r="B50" s="155"/>
      <c r="C50" s="104"/>
      <c r="D50" s="104"/>
      <c r="E50" s="56">
        <v>173</v>
      </c>
      <c r="F50" s="56">
        <f t="shared" si="9"/>
        <v>173</v>
      </c>
      <c r="G50" s="81"/>
    </row>
    <row r="51" spans="1:7" s="57" customFormat="1">
      <c r="A51" s="181" t="s">
        <v>486</v>
      </c>
      <c r="B51" s="155"/>
      <c r="C51" s="104"/>
      <c r="D51" s="104"/>
      <c r="E51" s="56">
        <v>36</v>
      </c>
      <c r="F51" s="56">
        <f t="shared" si="9"/>
        <v>36</v>
      </c>
      <c r="G51" s="81"/>
    </row>
    <row r="52" spans="1:7" s="57" customFormat="1">
      <c r="A52" s="181" t="s">
        <v>487</v>
      </c>
      <c r="B52" s="155"/>
      <c r="C52" s="104"/>
      <c r="D52" s="104"/>
      <c r="E52" s="56">
        <v>96</v>
      </c>
      <c r="F52" s="56">
        <f t="shared" si="9"/>
        <v>96</v>
      </c>
      <c r="G52" s="81"/>
    </row>
    <row r="53" spans="1:7" s="57" customFormat="1" ht="41.25" customHeight="1">
      <c r="A53" s="181" t="s">
        <v>488</v>
      </c>
      <c r="B53" s="155"/>
      <c r="C53" s="104"/>
      <c r="D53" s="104"/>
      <c r="E53" s="56">
        <v>74.599999999999994</v>
      </c>
      <c r="F53" s="56">
        <f t="shared" si="9"/>
        <v>74.599999999999994</v>
      </c>
      <c r="G53" s="81"/>
    </row>
    <row r="54" spans="1:7" s="57" customFormat="1">
      <c r="A54" s="181" t="s">
        <v>489</v>
      </c>
      <c r="B54" s="155"/>
      <c r="C54" s="104"/>
      <c r="D54" s="104"/>
      <c r="E54" s="56">
        <v>284</v>
      </c>
      <c r="F54" s="56">
        <f t="shared" si="9"/>
        <v>284</v>
      </c>
      <c r="G54" s="81"/>
    </row>
    <row r="55" spans="1:7" s="57" customFormat="1">
      <c r="A55" s="181" t="s">
        <v>490</v>
      </c>
      <c r="B55" s="155"/>
      <c r="C55" s="104"/>
      <c r="D55" s="104"/>
      <c r="E55" s="56">
        <v>7.5</v>
      </c>
      <c r="F55" s="56">
        <f t="shared" si="9"/>
        <v>7.5</v>
      </c>
      <c r="G55" s="81"/>
    </row>
    <row r="56" spans="1:7" s="57" customFormat="1">
      <c r="A56" s="181" t="s">
        <v>491</v>
      </c>
      <c r="B56" s="155"/>
      <c r="C56" s="104"/>
      <c r="D56" s="104"/>
      <c r="E56" s="56">
        <v>11.8</v>
      </c>
      <c r="F56" s="56">
        <f t="shared" si="9"/>
        <v>11.8</v>
      </c>
      <c r="G56" s="81"/>
    </row>
    <row r="57" spans="1:7" s="57" customFormat="1" ht="37.5">
      <c r="A57" s="181" t="s">
        <v>492</v>
      </c>
      <c r="B57" s="155"/>
      <c r="C57" s="104"/>
      <c r="D57" s="104"/>
      <c r="E57" s="56">
        <v>647</v>
      </c>
      <c r="F57" s="56">
        <f t="shared" si="9"/>
        <v>647</v>
      </c>
      <c r="G57" s="81"/>
    </row>
    <row r="58" spans="1:7" s="57" customFormat="1">
      <c r="A58" s="181" t="s">
        <v>493</v>
      </c>
      <c r="B58" s="155"/>
      <c r="C58" s="104"/>
      <c r="D58" s="104"/>
      <c r="E58" s="56">
        <v>39.5</v>
      </c>
      <c r="F58" s="56">
        <f t="shared" si="9"/>
        <v>39.5</v>
      </c>
      <c r="G58" s="81"/>
    </row>
    <row r="59" spans="1:7" s="57" customFormat="1">
      <c r="A59" s="181" t="s">
        <v>494</v>
      </c>
      <c r="B59" s="155"/>
      <c r="C59" s="104"/>
      <c r="D59" s="104"/>
      <c r="E59" s="56">
        <v>18.7</v>
      </c>
      <c r="F59" s="56">
        <f t="shared" si="9"/>
        <v>18.7</v>
      </c>
      <c r="G59" s="81"/>
    </row>
    <row r="60" spans="1:7" s="57" customFormat="1">
      <c r="A60" s="181" t="s">
        <v>495</v>
      </c>
      <c r="B60" s="155"/>
      <c r="C60" s="104"/>
      <c r="D60" s="104"/>
      <c r="E60" s="56">
        <v>235.2</v>
      </c>
      <c r="F60" s="56">
        <f t="shared" si="9"/>
        <v>235.2</v>
      </c>
      <c r="G60" s="81"/>
    </row>
    <row r="61" spans="1:7" s="57" customFormat="1" ht="20.25" customHeight="1">
      <c r="A61" s="117" t="s">
        <v>496</v>
      </c>
      <c r="B61" s="155"/>
      <c r="C61" s="104"/>
      <c r="D61" s="104"/>
      <c r="E61" s="56">
        <v>7.7</v>
      </c>
      <c r="F61" s="56">
        <f t="shared" si="9"/>
        <v>7.7</v>
      </c>
      <c r="G61" s="81"/>
    </row>
    <row r="62" spans="1:7" s="57" customFormat="1">
      <c r="A62" s="181" t="s">
        <v>497</v>
      </c>
      <c r="B62" s="155"/>
      <c r="C62" s="104"/>
      <c r="D62" s="104"/>
      <c r="E62" s="56">
        <v>16.8</v>
      </c>
      <c r="F62" s="56">
        <f t="shared" si="9"/>
        <v>16.8</v>
      </c>
      <c r="G62" s="81"/>
    </row>
    <row r="63" spans="1:7" s="57" customFormat="1">
      <c r="A63" s="181" t="s">
        <v>498</v>
      </c>
      <c r="B63" s="155"/>
      <c r="C63" s="104"/>
      <c r="D63" s="104"/>
      <c r="E63" s="56">
        <v>22.3</v>
      </c>
      <c r="F63" s="56">
        <f t="shared" si="9"/>
        <v>22.3</v>
      </c>
      <c r="G63" s="81"/>
    </row>
    <row r="64" spans="1:7" s="57" customFormat="1" ht="37.5">
      <c r="A64" s="181" t="s">
        <v>499</v>
      </c>
      <c r="B64" s="155"/>
      <c r="C64" s="104"/>
      <c r="D64" s="104"/>
      <c r="E64" s="56">
        <v>13.9</v>
      </c>
      <c r="F64" s="56">
        <f t="shared" si="9"/>
        <v>13.9</v>
      </c>
      <c r="G64" s="81"/>
    </row>
    <row r="65" spans="1:7" s="57" customFormat="1" ht="37.5">
      <c r="A65" s="100" t="s">
        <v>500</v>
      </c>
      <c r="B65" s="142"/>
      <c r="C65" s="167"/>
      <c r="D65" s="107">
        <v>20.100000000000001</v>
      </c>
      <c r="E65" s="167"/>
      <c r="F65" s="56">
        <f t="shared" si="9"/>
        <v>-20.100000000000001</v>
      </c>
      <c r="G65" s="81"/>
    </row>
    <row r="66" spans="1:7" s="57" customFormat="1">
      <c r="A66" s="100" t="s">
        <v>501</v>
      </c>
      <c r="B66" s="142"/>
      <c r="C66" s="167"/>
      <c r="D66" s="107">
        <v>12.6</v>
      </c>
      <c r="E66" s="167"/>
      <c r="F66" s="56">
        <f t="shared" si="9"/>
        <v>-12.6</v>
      </c>
      <c r="G66" s="81"/>
    </row>
    <row r="67" spans="1:7" s="57" customFormat="1">
      <c r="A67" s="100" t="s">
        <v>502</v>
      </c>
      <c r="B67" s="142"/>
      <c r="C67" s="167"/>
      <c r="D67" s="107">
        <v>76.7</v>
      </c>
      <c r="E67" s="167">
        <v>209.6</v>
      </c>
      <c r="F67" s="56">
        <f t="shared" si="9"/>
        <v>132.89999999999998</v>
      </c>
      <c r="G67" s="81">
        <f>E67/D67*100</f>
        <v>273.27249022164273</v>
      </c>
    </row>
    <row r="68" spans="1:7" s="57" customFormat="1">
      <c r="A68" s="100" t="s">
        <v>503</v>
      </c>
      <c r="B68" s="142"/>
      <c r="C68" s="167"/>
      <c r="D68" s="107">
        <v>336.6</v>
      </c>
      <c r="E68" s="167"/>
      <c r="F68" s="56">
        <f t="shared" si="9"/>
        <v>-336.6</v>
      </c>
      <c r="G68" s="81"/>
    </row>
    <row r="69" spans="1:7" s="57" customFormat="1" ht="96.75" customHeight="1">
      <c r="A69" s="100" t="s">
        <v>504</v>
      </c>
      <c r="B69" s="142"/>
      <c r="C69" s="167"/>
      <c r="D69" s="107">
        <v>2550</v>
      </c>
      <c r="E69" s="167"/>
      <c r="F69" s="56">
        <f t="shared" si="9"/>
        <v>-2550</v>
      </c>
      <c r="G69" s="81"/>
    </row>
    <row r="70" spans="1:7" s="57" customFormat="1" ht="37.5">
      <c r="A70" s="100" t="s">
        <v>505</v>
      </c>
      <c r="B70" s="142"/>
      <c r="C70" s="167"/>
      <c r="D70" s="107">
        <v>151</v>
      </c>
      <c r="E70" s="167"/>
      <c r="F70" s="56">
        <f t="shared" si="9"/>
        <v>-151</v>
      </c>
      <c r="G70" s="81"/>
    </row>
    <row r="71" spans="1:7" s="57" customFormat="1" ht="42" customHeight="1">
      <c r="A71" s="100" t="s">
        <v>506</v>
      </c>
      <c r="B71" s="142"/>
      <c r="C71" s="167"/>
      <c r="D71" s="107">
        <v>270</v>
      </c>
      <c r="E71" s="167"/>
      <c r="F71" s="56">
        <f t="shared" si="9"/>
        <v>-270</v>
      </c>
      <c r="G71" s="81"/>
    </row>
    <row r="72" spans="1:7" s="57" customFormat="1" ht="37.5">
      <c r="A72" s="100" t="s">
        <v>507</v>
      </c>
      <c r="B72" s="142"/>
      <c r="C72" s="167"/>
      <c r="D72" s="107">
        <v>455.5</v>
      </c>
      <c r="E72" s="167">
        <v>858.9</v>
      </c>
      <c r="F72" s="56">
        <f t="shared" si="9"/>
        <v>403.4</v>
      </c>
      <c r="G72" s="81">
        <f t="shared" ref="G72:G75" si="10">E72/D72*100</f>
        <v>188.56201975850712</v>
      </c>
    </row>
    <row r="73" spans="1:7" s="57" customFormat="1" ht="37.5">
      <c r="A73" s="100" t="s">
        <v>508</v>
      </c>
      <c r="B73" s="142"/>
      <c r="C73" s="167"/>
      <c r="D73" s="107">
        <v>557.79999999999995</v>
      </c>
      <c r="E73" s="167"/>
      <c r="F73" s="56">
        <f t="shared" si="9"/>
        <v>-557.79999999999995</v>
      </c>
      <c r="G73" s="81"/>
    </row>
    <row r="74" spans="1:7" s="57" customFormat="1" ht="37.5">
      <c r="A74" s="100" t="s">
        <v>509</v>
      </c>
      <c r="B74" s="142"/>
      <c r="C74" s="167"/>
      <c r="D74" s="107">
        <v>383.8</v>
      </c>
      <c r="E74" s="167"/>
      <c r="F74" s="56">
        <f t="shared" si="9"/>
        <v>-383.8</v>
      </c>
      <c r="G74" s="81"/>
    </row>
    <row r="75" spans="1:7" s="57" customFormat="1" ht="45" customHeight="1">
      <c r="A75" s="100" t="s">
        <v>510</v>
      </c>
      <c r="B75" s="142"/>
      <c r="C75" s="167"/>
      <c r="D75" s="107">
        <v>40</v>
      </c>
      <c r="E75" s="167">
        <v>18.2</v>
      </c>
      <c r="F75" s="56">
        <f t="shared" si="9"/>
        <v>-21.8</v>
      </c>
      <c r="G75" s="81">
        <f t="shared" si="10"/>
        <v>45.499999999999993</v>
      </c>
    </row>
    <row r="76" spans="1:7" s="57" customFormat="1" ht="56.25" customHeight="1">
      <c r="A76" s="100" t="s">
        <v>511</v>
      </c>
      <c r="B76" s="142"/>
      <c r="C76" s="167"/>
      <c r="D76" s="107">
        <v>73.7</v>
      </c>
      <c r="E76" s="167"/>
      <c r="F76" s="56">
        <f t="shared" si="9"/>
        <v>-73.7</v>
      </c>
      <c r="G76" s="81"/>
    </row>
    <row r="77" spans="1:7" s="57" customFormat="1">
      <c r="A77" s="100" t="s">
        <v>216</v>
      </c>
      <c r="B77" s="142"/>
      <c r="C77" s="107">
        <v>955.8</v>
      </c>
      <c r="D77" s="107"/>
      <c r="E77" s="107"/>
      <c r="F77" s="56">
        <f t="shared" si="9"/>
        <v>0</v>
      </c>
      <c r="G77" s="81"/>
    </row>
    <row r="78" spans="1:7" s="57" customFormat="1">
      <c r="A78" s="100" t="s">
        <v>512</v>
      </c>
      <c r="B78" s="142"/>
      <c r="C78" s="107">
        <v>11.2</v>
      </c>
      <c r="D78" s="107"/>
      <c r="E78" s="107"/>
      <c r="F78" s="56">
        <f t="shared" si="9"/>
        <v>0</v>
      </c>
      <c r="G78" s="81"/>
    </row>
    <row r="79" spans="1:7" s="57" customFormat="1">
      <c r="A79" s="100" t="s">
        <v>242</v>
      </c>
      <c r="B79" s="142"/>
      <c r="C79" s="107">
        <f>12.5+1.5</f>
        <v>14</v>
      </c>
      <c r="D79" s="107"/>
      <c r="E79" s="107"/>
      <c r="F79" s="56">
        <f t="shared" si="9"/>
        <v>0</v>
      </c>
      <c r="G79" s="81"/>
    </row>
    <row r="80" spans="1:7" s="57" customFormat="1" ht="40.5" customHeight="1">
      <c r="A80" s="100" t="s">
        <v>513</v>
      </c>
      <c r="B80" s="142"/>
      <c r="C80" s="107">
        <v>12.5</v>
      </c>
      <c r="D80" s="107"/>
      <c r="E80" s="107"/>
      <c r="F80" s="56">
        <f t="shared" si="9"/>
        <v>0</v>
      </c>
      <c r="G80" s="81"/>
    </row>
    <row r="81" spans="1:7" s="57" customFormat="1">
      <c r="A81" s="100" t="s">
        <v>514</v>
      </c>
      <c r="B81" s="142"/>
      <c r="C81" s="107">
        <v>7.5</v>
      </c>
      <c r="D81" s="107"/>
      <c r="E81" s="107"/>
      <c r="F81" s="56">
        <f t="shared" si="9"/>
        <v>0</v>
      </c>
      <c r="G81" s="81"/>
    </row>
    <row r="82" spans="1:7" s="57" customFormat="1">
      <c r="A82" s="100" t="s">
        <v>515</v>
      </c>
      <c r="B82" s="142"/>
      <c r="C82" s="107">
        <v>60</v>
      </c>
      <c r="D82" s="107"/>
      <c r="E82" s="107"/>
      <c r="F82" s="56">
        <f t="shared" si="9"/>
        <v>0</v>
      </c>
      <c r="G82" s="81"/>
    </row>
    <row r="83" spans="1:7" s="57" customFormat="1">
      <c r="A83" s="100" t="s">
        <v>516</v>
      </c>
      <c r="B83" s="142"/>
      <c r="C83" s="107">
        <v>12.3</v>
      </c>
      <c r="D83" s="107"/>
      <c r="E83" s="107"/>
      <c r="F83" s="56">
        <f t="shared" si="9"/>
        <v>0</v>
      </c>
      <c r="G83" s="81"/>
    </row>
    <row r="84" spans="1:7" s="57" customFormat="1" ht="45" customHeight="1">
      <c r="A84" s="97" t="s">
        <v>157</v>
      </c>
      <c r="B84" s="155">
        <v>3267</v>
      </c>
      <c r="C84" s="104">
        <f>SUM(C85:C126)</f>
        <v>394.7</v>
      </c>
      <c r="D84" s="104">
        <f>SUM(D85:D126)</f>
        <v>532.79999999999995</v>
      </c>
      <c r="E84" s="104">
        <f>SUM(E85:E126)</f>
        <v>562</v>
      </c>
      <c r="F84" s="55">
        <f t="shared" si="9"/>
        <v>29.200000000000045</v>
      </c>
      <c r="G84" s="265">
        <f>E84/D84*100</f>
        <v>105.48048048048048</v>
      </c>
    </row>
    <row r="85" spans="1:7" s="57" customFormat="1" ht="57.75" customHeight="1">
      <c r="A85" s="100" t="s">
        <v>517</v>
      </c>
      <c r="B85" s="142"/>
      <c r="C85" s="107">
        <v>325</v>
      </c>
      <c r="D85" s="107">
        <v>266.8</v>
      </c>
      <c r="E85" s="107">
        <v>258.8</v>
      </c>
      <c r="F85" s="56">
        <f t="shared" si="9"/>
        <v>-8</v>
      </c>
      <c r="G85" s="81">
        <f>E85/D85*100</f>
        <v>97.001499250374806</v>
      </c>
    </row>
    <row r="86" spans="1:7" s="57" customFormat="1">
      <c r="A86" s="100" t="s">
        <v>518</v>
      </c>
      <c r="B86" s="142"/>
      <c r="C86" s="107"/>
      <c r="D86" s="107"/>
      <c r="E86" s="107"/>
      <c r="F86" s="56">
        <f t="shared" si="9"/>
        <v>0</v>
      </c>
      <c r="G86" s="81"/>
    </row>
    <row r="87" spans="1:7" s="57" customFormat="1">
      <c r="A87" s="100" t="s">
        <v>242</v>
      </c>
      <c r="B87" s="142"/>
      <c r="C87" s="107">
        <v>31.2</v>
      </c>
      <c r="D87" s="107">
        <v>266</v>
      </c>
      <c r="E87" s="107"/>
      <c r="F87" s="56">
        <f t="shared" si="9"/>
        <v>-266</v>
      </c>
      <c r="G87" s="81"/>
    </row>
    <row r="88" spans="1:7" s="57" customFormat="1">
      <c r="A88" s="100" t="s">
        <v>519</v>
      </c>
      <c r="B88" s="142"/>
      <c r="C88" s="107">
        <v>26.5</v>
      </c>
      <c r="D88" s="107">
        <v>0</v>
      </c>
      <c r="E88" s="107"/>
      <c r="F88" s="56">
        <f t="shared" si="9"/>
        <v>0</v>
      </c>
      <c r="G88" s="81"/>
    </row>
    <row r="89" spans="1:7" s="57" customFormat="1">
      <c r="A89" s="100" t="s">
        <v>520</v>
      </c>
      <c r="B89" s="142"/>
      <c r="C89" s="107">
        <v>3.6</v>
      </c>
      <c r="D89" s="107"/>
      <c r="E89" s="107"/>
      <c r="F89" s="56">
        <f t="shared" si="9"/>
        <v>0</v>
      </c>
      <c r="G89" s="81"/>
    </row>
    <row r="90" spans="1:7" s="57" customFormat="1">
      <c r="A90" s="100" t="s">
        <v>521</v>
      </c>
      <c r="B90" s="142"/>
      <c r="C90" s="107">
        <v>0.5</v>
      </c>
      <c r="D90" s="107"/>
      <c r="E90" s="107"/>
      <c r="F90" s="56">
        <f t="shared" si="9"/>
        <v>0</v>
      </c>
      <c r="G90" s="81"/>
    </row>
    <row r="91" spans="1:7" s="57" customFormat="1">
      <c r="A91" s="100" t="s">
        <v>522</v>
      </c>
      <c r="B91" s="142"/>
      <c r="C91" s="107">
        <v>2.5</v>
      </c>
      <c r="D91" s="107">
        <v>0</v>
      </c>
      <c r="E91" s="107"/>
      <c r="F91" s="56">
        <f t="shared" si="9"/>
        <v>0</v>
      </c>
      <c r="G91" s="81"/>
    </row>
    <row r="92" spans="1:7" s="57" customFormat="1">
      <c r="A92" s="100" t="s">
        <v>523</v>
      </c>
      <c r="B92" s="142"/>
      <c r="C92" s="107">
        <v>1</v>
      </c>
      <c r="D92" s="107"/>
      <c r="E92" s="107"/>
      <c r="F92" s="56">
        <f t="shared" si="9"/>
        <v>0</v>
      </c>
      <c r="G92" s="81"/>
    </row>
    <row r="93" spans="1:7" s="57" customFormat="1">
      <c r="A93" s="117" t="s">
        <v>524</v>
      </c>
      <c r="B93" s="142"/>
      <c r="C93" s="107"/>
      <c r="D93" s="107"/>
      <c r="E93" s="56">
        <v>6.6</v>
      </c>
      <c r="F93" s="56">
        <f t="shared" si="9"/>
        <v>6.6</v>
      </c>
      <c r="G93" s="81"/>
    </row>
    <row r="94" spans="1:7" s="57" customFormat="1">
      <c r="A94" s="117" t="s">
        <v>525</v>
      </c>
      <c r="B94" s="142"/>
      <c r="C94" s="107"/>
      <c r="D94" s="107"/>
      <c r="E94" s="56">
        <v>4.4000000000000004</v>
      </c>
      <c r="F94" s="56">
        <f t="shared" si="9"/>
        <v>4.4000000000000004</v>
      </c>
      <c r="G94" s="81"/>
    </row>
    <row r="95" spans="1:7" s="57" customFormat="1">
      <c r="A95" s="117" t="s">
        <v>526</v>
      </c>
      <c r="B95" s="142"/>
      <c r="C95" s="107"/>
      <c r="D95" s="107"/>
      <c r="E95" s="56">
        <v>4.2</v>
      </c>
      <c r="F95" s="56">
        <f t="shared" si="9"/>
        <v>4.2</v>
      </c>
      <c r="G95" s="81"/>
    </row>
    <row r="96" spans="1:7" s="57" customFormat="1">
      <c r="A96" s="117" t="s">
        <v>527</v>
      </c>
      <c r="B96" s="142"/>
      <c r="C96" s="107"/>
      <c r="D96" s="107"/>
      <c r="E96" s="56">
        <v>12.4</v>
      </c>
      <c r="F96" s="56">
        <f t="shared" si="9"/>
        <v>12.4</v>
      </c>
      <c r="G96" s="81"/>
    </row>
    <row r="97" spans="1:7" s="57" customFormat="1">
      <c r="A97" s="117" t="s">
        <v>528</v>
      </c>
      <c r="B97" s="142"/>
      <c r="C97" s="107"/>
      <c r="D97" s="107"/>
      <c r="E97" s="56">
        <v>2</v>
      </c>
      <c r="F97" s="56">
        <f t="shared" si="9"/>
        <v>2</v>
      </c>
      <c r="G97" s="81"/>
    </row>
    <row r="98" spans="1:7" s="57" customFormat="1">
      <c r="A98" s="117" t="s">
        <v>529</v>
      </c>
      <c r="B98" s="142"/>
      <c r="C98" s="107"/>
      <c r="D98" s="107"/>
      <c r="E98" s="56">
        <v>37.299999999999997</v>
      </c>
      <c r="F98" s="56">
        <f t="shared" si="9"/>
        <v>37.299999999999997</v>
      </c>
      <c r="G98" s="81"/>
    </row>
    <row r="99" spans="1:7" s="57" customFormat="1">
      <c r="A99" s="117" t="s">
        <v>530</v>
      </c>
      <c r="B99" s="142"/>
      <c r="C99" s="107"/>
      <c r="D99" s="107"/>
      <c r="E99" s="56">
        <v>7.7</v>
      </c>
      <c r="F99" s="56">
        <f t="shared" si="9"/>
        <v>7.7</v>
      </c>
      <c r="G99" s="81"/>
    </row>
    <row r="100" spans="1:7" s="57" customFormat="1">
      <c r="A100" s="117" t="s">
        <v>531</v>
      </c>
      <c r="B100" s="142"/>
      <c r="C100" s="107"/>
      <c r="D100" s="107"/>
      <c r="E100" s="56">
        <v>1.1000000000000001</v>
      </c>
      <c r="F100" s="56">
        <f t="shared" ref="F100:F137" si="11">E100-D100</f>
        <v>1.1000000000000001</v>
      </c>
      <c r="G100" s="81"/>
    </row>
    <row r="101" spans="1:7" s="57" customFormat="1" ht="38.25" customHeight="1">
      <c r="A101" s="117" t="s">
        <v>532</v>
      </c>
      <c r="B101" s="142"/>
      <c r="C101" s="107"/>
      <c r="D101" s="107"/>
      <c r="E101" s="56">
        <v>0.6</v>
      </c>
      <c r="F101" s="56">
        <f t="shared" si="11"/>
        <v>0.6</v>
      </c>
      <c r="G101" s="81"/>
    </row>
    <row r="102" spans="1:7" s="57" customFormat="1">
      <c r="A102" s="117" t="s">
        <v>533</v>
      </c>
      <c r="B102" s="142"/>
      <c r="C102" s="107">
        <v>4.4000000000000004</v>
      </c>
      <c r="D102" s="107"/>
      <c r="E102" s="182">
        <v>4.2</v>
      </c>
      <c r="F102" s="56">
        <f t="shared" si="11"/>
        <v>4.2</v>
      </c>
      <c r="G102" s="81"/>
    </row>
    <row r="103" spans="1:7" s="57" customFormat="1" ht="20.25" customHeight="1">
      <c r="A103" s="117" t="s">
        <v>534</v>
      </c>
      <c r="B103" s="142"/>
      <c r="C103" s="107"/>
      <c r="D103" s="107"/>
      <c r="E103" s="56">
        <v>15.5</v>
      </c>
      <c r="F103" s="56">
        <f t="shared" si="11"/>
        <v>15.5</v>
      </c>
      <c r="G103" s="81"/>
    </row>
    <row r="104" spans="1:7" s="57" customFormat="1">
      <c r="A104" s="117" t="s">
        <v>535</v>
      </c>
      <c r="B104" s="142"/>
      <c r="C104" s="107"/>
      <c r="D104" s="107"/>
      <c r="E104" s="56">
        <v>7.9</v>
      </c>
      <c r="F104" s="56">
        <f t="shared" si="11"/>
        <v>7.9</v>
      </c>
      <c r="G104" s="81"/>
    </row>
    <row r="105" spans="1:7" s="57" customFormat="1">
      <c r="A105" s="117" t="s">
        <v>536</v>
      </c>
      <c r="B105" s="142"/>
      <c r="C105" s="107"/>
      <c r="D105" s="107"/>
      <c r="E105" s="56">
        <v>1.1000000000000001</v>
      </c>
      <c r="F105" s="56">
        <f t="shared" si="11"/>
        <v>1.1000000000000001</v>
      </c>
      <c r="G105" s="81"/>
    </row>
    <row r="106" spans="1:7" s="57" customFormat="1">
      <c r="A106" s="117" t="s">
        <v>537</v>
      </c>
      <c r="B106" s="142"/>
      <c r="C106" s="107"/>
      <c r="D106" s="107"/>
      <c r="E106" s="56">
        <v>5</v>
      </c>
      <c r="F106" s="56">
        <f t="shared" si="11"/>
        <v>5</v>
      </c>
      <c r="G106" s="81"/>
    </row>
    <row r="107" spans="1:7" s="57" customFormat="1">
      <c r="A107" s="117" t="s">
        <v>538</v>
      </c>
      <c r="B107" s="142"/>
      <c r="C107" s="107"/>
      <c r="D107" s="107"/>
      <c r="E107" s="56">
        <v>49.9</v>
      </c>
      <c r="F107" s="56">
        <f t="shared" si="11"/>
        <v>49.9</v>
      </c>
      <c r="G107" s="81"/>
    </row>
    <row r="108" spans="1:7" s="57" customFormat="1">
      <c r="A108" s="117" t="s">
        <v>539</v>
      </c>
      <c r="B108" s="142"/>
      <c r="C108" s="107"/>
      <c r="D108" s="107"/>
      <c r="E108" s="56">
        <v>1.4</v>
      </c>
      <c r="F108" s="56">
        <f t="shared" si="11"/>
        <v>1.4</v>
      </c>
      <c r="G108" s="81"/>
    </row>
    <row r="109" spans="1:7" s="57" customFormat="1">
      <c r="A109" s="117" t="s">
        <v>540</v>
      </c>
      <c r="B109" s="142"/>
      <c r="C109" s="107"/>
      <c r="D109" s="107"/>
      <c r="E109" s="56">
        <v>2.4</v>
      </c>
      <c r="F109" s="56">
        <f t="shared" si="11"/>
        <v>2.4</v>
      </c>
      <c r="G109" s="81"/>
    </row>
    <row r="110" spans="1:7" s="57" customFormat="1">
      <c r="A110" s="117" t="s">
        <v>541</v>
      </c>
      <c r="B110" s="142"/>
      <c r="C110" s="107"/>
      <c r="D110" s="107"/>
      <c r="E110" s="56">
        <v>4.5</v>
      </c>
      <c r="F110" s="56">
        <f t="shared" si="11"/>
        <v>4.5</v>
      </c>
      <c r="G110" s="81"/>
    </row>
    <row r="111" spans="1:7" s="57" customFormat="1">
      <c r="A111" s="117" t="s">
        <v>542</v>
      </c>
      <c r="B111" s="142"/>
      <c r="C111" s="107"/>
      <c r="D111" s="107"/>
      <c r="E111" s="56">
        <v>5.2</v>
      </c>
      <c r="F111" s="56">
        <f t="shared" si="11"/>
        <v>5.2</v>
      </c>
      <c r="G111" s="81"/>
    </row>
    <row r="112" spans="1:7" s="57" customFormat="1">
      <c r="A112" s="117" t="s">
        <v>543</v>
      </c>
      <c r="B112" s="142"/>
      <c r="C112" s="107"/>
      <c r="D112" s="107"/>
      <c r="E112" s="56">
        <v>12</v>
      </c>
      <c r="F112" s="56">
        <f t="shared" si="11"/>
        <v>12</v>
      </c>
      <c r="G112" s="81"/>
    </row>
    <row r="113" spans="1:7" s="57" customFormat="1">
      <c r="A113" s="117" t="s">
        <v>544</v>
      </c>
      <c r="B113" s="142"/>
      <c r="C113" s="107"/>
      <c r="D113" s="107"/>
      <c r="E113" s="56">
        <v>2.9</v>
      </c>
      <c r="F113" s="56">
        <f t="shared" si="11"/>
        <v>2.9</v>
      </c>
      <c r="G113" s="81"/>
    </row>
    <row r="114" spans="1:7" s="57" customFormat="1">
      <c r="A114" s="110" t="s">
        <v>545</v>
      </c>
      <c r="B114" s="142"/>
      <c r="C114" s="107"/>
      <c r="D114" s="107"/>
      <c r="E114" s="56">
        <v>4.2</v>
      </c>
      <c r="F114" s="56">
        <f t="shared" si="11"/>
        <v>4.2</v>
      </c>
      <c r="G114" s="81"/>
    </row>
    <row r="115" spans="1:7" s="57" customFormat="1">
      <c r="A115" s="181" t="s">
        <v>546</v>
      </c>
      <c r="B115" s="142"/>
      <c r="C115" s="107"/>
      <c r="D115" s="107"/>
      <c r="E115" s="56">
        <v>0.5</v>
      </c>
      <c r="F115" s="56">
        <f t="shared" si="11"/>
        <v>0.5</v>
      </c>
      <c r="G115" s="81"/>
    </row>
    <row r="116" spans="1:7" s="57" customFormat="1">
      <c r="A116" s="117" t="s">
        <v>547</v>
      </c>
      <c r="B116" s="142"/>
      <c r="C116" s="107"/>
      <c r="D116" s="107"/>
      <c r="E116" s="56">
        <f>13.9+10.7</f>
        <v>24.6</v>
      </c>
      <c r="F116" s="56">
        <f t="shared" si="11"/>
        <v>24.6</v>
      </c>
      <c r="G116" s="81"/>
    </row>
    <row r="117" spans="1:7" s="57" customFormat="1">
      <c r="A117" s="117" t="s">
        <v>548</v>
      </c>
      <c r="B117" s="142"/>
      <c r="C117" s="107"/>
      <c r="D117" s="107"/>
      <c r="E117" s="56">
        <v>18.399999999999999</v>
      </c>
      <c r="F117" s="56">
        <f t="shared" si="11"/>
        <v>18.399999999999999</v>
      </c>
      <c r="G117" s="81"/>
    </row>
    <row r="118" spans="1:7" s="57" customFormat="1">
      <c r="A118" s="117" t="s">
        <v>549</v>
      </c>
      <c r="B118" s="142"/>
      <c r="C118" s="107"/>
      <c r="D118" s="107"/>
      <c r="E118" s="56">
        <v>4.5</v>
      </c>
      <c r="F118" s="56">
        <f t="shared" si="11"/>
        <v>4.5</v>
      </c>
      <c r="G118" s="81"/>
    </row>
    <row r="119" spans="1:7" s="57" customFormat="1">
      <c r="A119" s="117" t="s">
        <v>550</v>
      </c>
      <c r="B119" s="142"/>
      <c r="C119" s="107"/>
      <c r="D119" s="107"/>
      <c r="E119" s="56">
        <v>4.3</v>
      </c>
      <c r="F119" s="56">
        <f t="shared" si="11"/>
        <v>4.3</v>
      </c>
      <c r="G119" s="81"/>
    </row>
    <row r="120" spans="1:7" s="57" customFormat="1">
      <c r="A120" s="181" t="s">
        <v>551</v>
      </c>
      <c r="B120" s="142"/>
      <c r="C120" s="107"/>
      <c r="D120" s="107"/>
      <c r="E120" s="56">
        <v>3.4</v>
      </c>
      <c r="F120" s="56">
        <f t="shared" si="11"/>
        <v>3.4</v>
      </c>
      <c r="G120" s="81"/>
    </row>
    <row r="121" spans="1:7" s="57" customFormat="1">
      <c r="A121" s="181" t="s">
        <v>552</v>
      </c>
      <c r="B121" s="142"/>
      <c r="C121" s="107"/>
      <c r="D121" s="107"/>
      <c r="E121" s="56">
        <v>4.5999999999999996</v>
      </c>
      <c r="F121" s="56">
        <f t="shared" si="11"/>
        <v>4.5999999999999996</v>
      </c>
      <c r="G121" s="81"/>
    </row>
    <row r="122" spans="1:7" s="57" customFormat="1">
      <c r="A122" s="181" t="s">
        <v>553</v>
      </c>
      <c r="B122" s="142"/>
      <c r="C122" s="107"/>
      <c r="D122" s="107"/>
      <c r="E122" s="56">
        <v>8.6999999999999993</v>
      </c>
      <c r="F122" s="56">
        <f t="shared" si="11"/>
        <v>8.6999999999999993</v>
      </c>
      <c r="G122" s="81"/>
    </row>
    <row r="123" spans="1:7" s="57" customFormat="1">
      <c r="A123" s="181" t="s">
        <v>554</v>
      </c>
      <c r="B123" s="142"/>
      <c r="C123" s="107"/>
      <c r="D123" s="107"/>
      <c r="E123" s="56">
        <v>13.2</v>
      </c>
      <c r="F123" s="56">
        <f t="shared" si="11"/>
        <v>13.2</v>
      </c>
      <c r="G123" s="81"/>
    </row>
    <row r="124" spans="1:7" s="57" customFormat="1" ht="36.75" customHeight="1">
      <c r="A124" s="181" t="s">
        <v>555</v>
      </c>
      <c r="B124" s="142"/>
      <c r="C124" s="107"/>
      <c r="D124" s="107"/>
      <c r="E124" s="56">
        <v>5.7</v>
      </c>
      <c r="F124" s="56">
        <f t="shared" si="11"/>
        <v>5.7</v>
      </c>
      <c r="G124" s="81"/>
    </row>
    <row r="125" spans="1:7" s="57" customFormat="1">
      <c r="A125" s="181" t="s">
        <v>556</v>
      </c>
      <c r="B125" s="142"/>
      <c r="C125" s="107"/>
      <c r="D125" s="107"/>
      <c r="E125" s="56">
        <v>4.8</v>
      </c>
      <c r="F125" s="56">
        <f t="shared" si="11"/>
        <v>4.8</v>
      </c>
      <c r="G125" s="81"/>
    </row>
    <row r="126" spans="1:7" s="57" customFormat="1" ht="26.25" customHeight="1">
      <c r="A126" s="181" t="s">
        <v>557</v>
      </c>
      <c r="B126" s="142"/>
      <c r="C126" s="107"/>
      <c r="D126" s="107"/>
      <c r="E126" s="56">
        <v>18</v>
      </c>
      <c r="F126" s="56">
        <f t="shared" si="11"/>
        <v>18</v>
      </c>
      <c r="G126" s="81"/>
    </row>
    <row r="127" spans="1:7" s="57" customFormat="1" ht="44.25" customHeight="1">
      <c r="A127" s="137" t="s">
        <v>115</v>
      </c>
      <c r="B127" s="2">
        <v>3269</v>
      </c>
      <c r="C127" s="55">
        <f>C128+C129</f>
        <v>3037.1</v>
      </c>
      <c r="D127" s="55">
        <f t="shared" ref="D127:E127" si="12">D128+D129</f>
        <v>1987.5</v>
      </c>
      <c r="E127" s="55">
        <f t="shared" si="12"/>
        <v>2563.8000000000002</v>
      </c>
      <c r="F127" s="55">
        <f t="shared" si="11"/>
        <v>576.30000000000018</v>
      </c>
      <c r="G127" s="265">
        <f t="shared" si="2"/>
        <v>128.99622641509433</v>
      </c>
    </row>
    <row r="128" spans="1:7" s="57" customFormat="1" ht="39.75" customHeight="1">
      <c r="A128" s="183" t="s">
        <v>558</v>
      </c>
      <c r="B128" s="183"/>
      <c r="C128" s="183"/>
      <c r="D128" s="184">
        <v>1987.5</v>
      </c>
      <c r="E128" s="184">
        <v>2563.8000000000002</v>
      </c>
      <c r="F128" s="56">
        <f t="shared" si="11"/>
        <v>576.30000000000018</v>
      </c>
      <c r="G128" s="81">
        <f t="shared" si="2"/>
        <v>128.99622641509433</v>
      </c>
    </row>
    <row r="129" spans="1:7" ht="43.5" customHeight="1">
      <c r="A129" s="117" t="s">
        <v>559</v>
      </c>
      <c r="B129" s="178"/>
      <c r="C129" s="107">
        <f>3036.5+0.6</f>
        <v>3037.1</v>
      </c>
      <c r="D129" s="107">
        <v>0</v>
      </c>
      <c r="E129" s="107"/>
      <c r="F129" s="56">
        <f t="shared" si="11"/>
        <v>0</v>
      </c>
      <c r="G129" s="81"/>
    </row>
    <row r="130" spans="1:7" ht="24.75" customHeight="1">
      <c r="A130" s="137" t="s">
        <v>116</v>
      </c>
      <c r="B130" s="51">
        <v>3270</v>
      </c>
      <c r="C130" s="55">
        <f>C131+C132+C133</f>
        <v>41.4</v>
      </c>
      <c r="D130" s="55">
        <f t="shared" ref="D130:E130" si="13">D131+D132+D133</f>
        <v>0</v>
      </c>
      <c r="E130" s="55">
        <f t="shared" si="13"/>
        <v>1113.5</v>
      </c>
      <c r="F130" s="55">
        <f t="shared" si="11"/>
        <v>1113.5</v>
      </c>
      <c r="G130" s="265"/>
    </row>
    <row r="131" spans="1:7" ht="39" customHeight="1">
      <c r="A131" s="117" t="s">
        <v>560</v>
      </c>
      <c r="B131" s="101"/>
      <c r="C131" s="107"/>
      <c r="D131" s="107"/>
      <c r="E131" s="107">
        <v>887.5</v>
      </c>
      <c r="F131" s="56">
        <f t="shared" si="11"/>
        <v>887.5</v>
      </c>
      <c r="G131" s="81"/>
    </row>
    <row r="132" spans="1:7" ht="62.25" customHeight="1">
      <c r="A132" s="185" t="s">
        <v>561</v>
      </c>
      <c r="B132" s="101"/>
      <c r="C132" s="107"/>
      <c r="D132" s="107"/>
      <c r="E132" s="107">
        <v>226</v>
      </c>
      <c r="F132" s="56">
        <f t="shared" si="11"/>
        <v>226</v>
      </c>
      <c r="G132" s="81"/>
    </row>
    <row r="133" spans="1:7" ht="21" customHeight="1">
      <c r="A133" s="110" t="s">
        <v>562</v>
      </c>
      <c r="B133" s="101"/>
      <c r="C133" s="107">
        <v>41.4</v>
      </c>
      <c r="D133" s="107">
        <v>0</v>
      </c>
      <c r="E133" s="107"/>
      <c r="F133" s="56">
        <f t="shared" si="11"/>
        <v>0</v>
      </c>
      <c r="G133" s="81"/>
    </row>
    <row r="134" spans="1:7" ht="24" customHeight="1">
      <c r="A134" s="109" t="s">
        <v>25</v>
      </c>
      <c r="B134" s="101"/>
      <c r="C134" s="107"/>
      <c r="D134" s="107">
        <v>0</v>
      </c>
      <c r="E134" s="107"/>
      <c r="F134" s="56">
        <f t="shared" si="11"/>
        <v>0</v>
      </c>
      <c r="G134" s="81"/>
    </row>
    <row r="135" spans="1:7" ht="34.5" customHeight="1">
      <c r="A135" s="186" t="s">
        <v>68</v>
      </c>
      <c r="B135" s="101"/>
      <c r="C135" s="104"/>
      <c r="D135" s="104">
        <v>0</v>
      </c>
      <c r="E135" s="104"/>
      <c r="F135" s="56">
        <f t="shared" si="11"/>
        <v>0</v>
      </c>
      <c r="G135" s="83"/>
    </row>
    <row r="136" spans="1:7" ht="24.75" customHeight="1">
      <c r="A136" s="137" t="s">
        <v>114</v>
      </c>
      <c r="B136" s="51">
        <v>3340</v>
      </c>
      <c r="C136" s="159">
        <f t="shared" ref="C136:D136" si="14">C137</f>
        <v>0</v>
      </c>
      <c r="D136" s="159">
        <f t="shared" si="14"/>
        <v>0</v>
      </c>
      <c r="E136" s="55">
        <f>E137</f>
        <v>26.5</v>
      </c>
      <c r="F136" s="55">
        <f t="shared" si="11"/>
        <v>26.5</v>
      </c>
      <c r="G136" s="265"/>
    </row>
    <row r="137" spans="1:7" ht="42" customHeight="1">
      <c r="A137" s="117" t="s">
        <v>444</v>
      </c>
      <c r="B137" s="101"/>
      <c r="C137" s="107"/>
      <c r="D137" s="107"/>
      <c r="E137" s="107">
        <v>26.5</v>
      </c>
      <c r="F137" s="56">
        <f t="shared" si="11"/>
        <v>26.5</v>
      </c>
      <c r="G137" s="81"/>
    </row>
    <row r="138" spans="1:7" s="57" customFormat="1" ht="19.5" customHeight="1">
      <c r="A138" s="76"/>
      <c r="B138" s="77"/>
      <c r="C138" s="78"/>
      <c r="D138" s="78"/>
      <c r="E138" s="78"/>
      <c r="F138" s="78"/>
      <c r="G138" s="79"/>
    </row>
    <row r="139" spans="1:7" ht="26.25" customHeight="1">
      <c r="A139" s="63" t="s">
        <v>90</v>
      </c>
      <c r="B139" s="64"/>
      <c r="C139" s="374" t="s">
        <v>20</v>
      </c>
      <c r="D139" s="374"/>
      <c r="E139" s="91"/>
      <c r="F139" s="375" t="s">
        <v>627</v>
      </c>
      <c r="G139" s="375"/>
    </row>
    <row r="140" spans="1:7">
      <c r="A140" s="92" t="s">
        <v>97</v>
      </c>
      <c r="B140" s="67"/>
      <c r="C140" s="359" t="s">
        <v>111</v>
      </c>
      <c r="D140" s="359"/>
      <c r="E140" s="90"/>
      <c r="F140" s="353" t="s">
        <v>21</v>
      </c>
      <c r="G140" s="353"/>
    </row>
    <row r="141" spans="1:7">
      <c r="A141" s="59"/>
      <c r="B141" s="60"/>
      <c r="C141" s="61"/>
      <c r="D141" s="62"/>
      <c r="E141" s="62"/>
      <c r="F141" s="62"/>
    </row>
    <row r="142" spans="1:7">
      <c r="A142" s="59"/>
      <c r="B142" s="60"/>
      <c r="C142" s="61"/>
      <c r="D142" s="62"/>
      <c r="E142" s="62"/>
      <c r="F142" s="62"/>
    </row>
    <row r="143" spans="1:7">
      <c r="A143" s="59"/>
      <c r="B143" s="60"/>
      <c r="C143" s="61"/>
      <c r="D143" s="62"/>
      <c r="E143" s="62"/>
      <c r="F143" s="62"/>
    </row>
    <row r="144" spans="1:7">
      <c r="A144" s="59"/>
      <c r="B144" s="60"/>
      <c r="C144" s="61"/>
      <c r="D144" s="62"/>
      <c r="E144" s="62"/>
      <c r="F144" s="62"/>
    </row>
    <row r="145" spans="1:6">
      <c r="A145" s="59"/>
      <c r="B145" s="60"/>
      <c r="C145" s="61"/>
      <c r="D145" s="62"/>
      <c r="E145" s="62"/>
      <c r="F145" s="62"/>
    </row>
    <row r="146" spans="1:6">
      <c r="A146" s="59"/>
      <c r="B146" s="60"/>
      <c r="C146" s="61"/>
      <c r="D146" s="62"/>
      <c r="E146" s="62"/>
      <c r="F146" s="62"/>
    </row>
    <row r="147" spans="1:6">
      <c r="A147" s="59"/>
      <c r="B147" s="60"/>
      <c r="C147" s="61"/>
      <c r="D147" s="62"/>
      <c r="E147" s="62"/>
      <c r="F147" s="62"/>
    </row>
    <row r="148" spans="1:6">
      <c r="A148" s="59"/>
      <c r="B148" s="60"/>
      <c r="C148" s="61"/>
      <c r="D148" s="62"/>
      <c r="E148" s="62"/>
      <c r="F148" s="62"/>
    </row>
    <row r="149" spans="1:6">
      <c r="A149" s="59"/>
      <c r="B149" s="60"/>
      <c r="C149" s="61"/>
      <c r="D149" s="62"/>
      <c r="E149" s="62"/>
      <c r="F149" s="62"/>
    </row>
    <row r="150" spans="1:6">
      <c r="A150" s="59"/>
      <c r="B150" s="60"/>
      <c r="C150" s="61"/>
      <c r="D150" s="62"/>
      <c r="E150" s="62"/>
      <c r="F150" s="62"/>
    </row>
    <row r="151" spans="1:6">
      <c r="A151" s="59"/>
      <c r="B151" s="60"/>
      <c r="C151" s="61"/>
      <c r="D151" s="62"/>
      <c r="E151" s="62"/>
      <c r="F151" s="62"/>
    </row>
    <row r="152" spans="1:6">
      <c r="A152" s="59"/>
      <c r="B152" s="60"/>
      <c r="C152" s="61"/>
      <c r="D152" s="62"/>
      <c r="E152" s="62"/>
      <c r="F152" s="62"/>
    </row>
    <row r="153" spans="1:6">
      <c r="A153" s="59"/>
      <c r="B153" s="60"/>
      <c r="C153" s="61"/>
      <c r="D153" s="62"/>
      <c r="E153" s="62"/>
      <c r="F153" s="62"/>
    </row>
    <row r="154" spans="1:6">
      <c r="A154" s="59"/>
      <c r="B154" s="60"/>
      <c r="C154" s="61"/>
      <c r="D154" s="62"/>
      <c r="E154" s="62"/>
      <c r="F154" s="62"/>
    </row>
    <row r="155" spans="1:6">
      <c r="A155" s="59"/>
      <c r="B155" s="60"/>
      <c r="C155" s="61"/>
      <c r="D155" s="62"/>
      <c r="E155" s="62"/>
      <c r="F155" s="62"/>
    </row>
    <row r="156" spans="1:6">
      <c r="A156" s="59"/>
      <c r="B156" s="60"/>
      <c r="C156" s="61"/>
      <c r="D156" s="62"/>
      <c r="E156" s="62"/>
      <c r="F156" s="62"/>
    </row>
    <row r="157" spans="1:6">
      <c r="A157" s="59"/>
      <c r="B157" s="60"/>
      <c r="C157" s="61"/>
      <c r="D157" s="62"/>
      <c r="E157" s="62"/>
      <c r="F157" s="62"/>
    </row>
    <row r="158" spans="1:6">
      <c r="A158" s="59"/>
      <c r="B158" s="60"/>
      <c r="C158" s="61"/>
      <c r="D158" s="62"/>
      <c r="E158" s="62"/>
      <c r="F158" s="62"/>
    </row>
    <row r="159" spans="1:6">
      <c r="A159" s="59"/>
      <c r="B159" s="60"/>
      <c r="C159" s="61"/>
      <c r="D159" s="62"/>
      <c r="E159" s="62"/>
      <c r="F159" s="62"/>
    </row>
    <row r="160" spans="1:6">
      <c r="A160" s="59"/>
      <c r="B160" s="60"/>
      <c r="C160" s="61"/>
      <c r="D160" s="62"/>
      <c r="E160" s="62"/>
      <c r="F160" s="62"/>
    </row>
    <row r="161" spans="1:6">
      <c r="A161" s="59"/>
      <c r="B161" s="60"/>
      <c r="C161" s="61"/>
      <c r="D161" s="62"/>
      <c r="E161" s="62"/>
      <c r="F161" s="62"/>
    </row>
    <row r="162" spans="1:6">
      <c r="A162" s="59"/>
      <c r="B162" s="60"/>
      <c r="C162" s="61"/>
      <c r="D162" s="62"/>
      <c r="E162" s="62"/>
      <c r="F162" s="62"/>
    </row>
    <row r="163" spans="1:6">
      <c r="A163" s="59"/>
      <c r="B163" s="60"/>
      <c r="C163" s="61"/>
      <c r="D163" s="62"/>
      <c r="E163" s="62"/>
      <c r="F163" s="62"/>
    </row>
    <row r="164" spans="1:6">
      <c r="A164" s="59"/>
      <c r="B164" s="60"/>
      <c r="C164" s="61"/>
      <c r="D164" s="62"/>
      <c r="E164" s="62"/>
      <c r="F164" s="62"/>
    </row>
    <row r="165" spans="1:6">
      <c r="A165" s="59"/>
      <c r="B165" s="60"/>
      <c r="C165" s="61"/>
      <c r="D165" s="62"/>
      <c r="E165" s="62"/>
      <c r="F165" s="62"/>
    </row>
    <row r="166" spans="1:6">
      <c r="A166" s="59"/>
      <c r="B166" s="60"/>
      <c r="C166" s="61"/>
      <c r="D166" s="62"/>
      <c r="E166" s="62"/>
      <c r="F166" s="62"/>
    </row>
    <row r="167" spans="1:6">
      <c r="A167" s="59"/>
      <c r="B167" s="60"/>
      <c r="C167" s="61"/>
      <c r="D167" s="62"/>
      <c r="E167" s="62"/>
      <c r="F167" s="62"/>
    </row>
    <row r="168" spans="1:6">
      <c r="A168" s="59"/>
      <c r="B168" s="60"/>
      <c r="C168" s="61"/>
      <c r="D168" s="62"/>
      <c r="E168" s="62"/>
      <c r="F168" s="62"/>
    </row>
    <row r="169" spans="1:6">
      <c r="A169" s="59"/>
      <c r="B169" s="60"/>
      <c r="C169" s="61"/>
      <c r="D169" s="62"/>
      <c r="E169" s="62"/>
      <c r="F169" s="62"/>
    </row>
    <row r="170" spans="1:6">
      <c r="A170" s="59"/>
      <c r="B170" s="60"/>
      <c r="C170" s="61"/>
      <c r="D170" s="62"/>
      <c r="E170" s="62"/>
      <c r="F170" s="62"/>
    </row>
    <row r="171" spans="1:6">
      <c r="A171" s="59"/>
      <c r="B171" s="60"/>
      <c r="C171" s="61"/>
      <c r="D171" s="62"/>
      <c r="E171" s="62"/>
      <c r="F171" s="62"/>
    </row>
    <row r="172" spans="1:6">
      <c r="A172" s="59"/>
      <c r="C172" s="70"/>
      <c r="D172" s="71"/>
      <c r="E172" s="71"/>
      <c r="F172" s="71"/>
    </row>
    <row r="173" spans="1:6">
      <c r="A173" s="72"/>
      <c r="C173" s="70"/>
      <c r="D173" s="71"/>
      <c r="E173" s="71"/>
      <c r="F173" s="71"/>
    </row>
    <row r="174" spans="1:6">
      <c r="A174" s="72"/>
      <c r="C174" s="70"/>
      <c r="D174" s="71"/>
      <c r="E174" s="71"/>
      <c r="F174" s="71"/>
    </row>
    <row r="175" spans="1:6">
      <c r="A175" s="72"/>
      <c r="C175" s="70"/>
      <c r="D175" s="71"/>
      <c r="E175" s="71"/>
      <c r="F175" s="71"/>
    </row>
    <row r="176" spans="1:6">
      <c r="A176" s="72"/>
      <c r="C176" s="70"/>
      <c r="D176" s="71"/>
      <c r="E176" s="71"/>
      <c r="F176" s="71"/>
    </row>
    <row r="177" spans="1:6">
      <c r="A177" s="72"/>
      <c r="C177" s="70"/>
      <c r="D177" s="71"/>
      <c r="E177" s="71"/>
      <c r="F177" s="71"/>
    </row>
    <row r="178" spans="1:6">
      <c r="A178" s="72"/>
      <c r="C178" s="70"/>
      <c r="D178" s="71"/>
      <c r="E178" s="71"/>
      <c r="F178" s="71"/>
    </row>
    <row r="179" spans="1:6">
      <c r="A179" s="72"/>
      <c r="C179" s="70"/>
      <c r="D179" s="71"/>
      <c r="E179" s="71"/>
      <c r="F179" s="71"/>
    </row>
    <row r="180" spans="1:6">
      <c r="A180" s="72"/>
      <c r="C180" s="70"/>
      <c r="D180" s="71"/>
      <c r="E180" s="71"/>
      <c r="F180" s="71"/>
    </row>
    <row r="181" spans="1:6">
      <c r="A181" s="72"/>
      <c r="C181" s="70"/>
      <c r="D181" s="71"/>
      <c r="E181" s="71"/>
      <c r="F181" s="71"/>
    </row>
    <row r="182" spans="1:6">
      <c r="A182" s="72"/>
      <c r="C182" s="70"/>
      <c r="D182" s="71"/>
      <c r="E182" s="71"/>
      <c r="F182" s="71"/>
    </row>
    <row r="183" spans="1:6">
      <c r="A183" s="72"/>
      <c r="C183" s="70"/>
      <c r="D183" s="71"/>
      <c r="E183" s="71"/>
      <c r="F183" s="71"/>
    </row>
    <row r="184" spans="1:6">
      <c r="A184" s="72"/>
      <c r="C184" s="70"/>
      <c r="D184" s="71"/>
      <c r="E184" s="71"/>
      <c r="F184" s="71"/>
    </row>
    <row r="185" spans="1:6">
      <c r="A185" s="72"/>
      <c r="C185" s="70"/>
      <c r="D185" s="71"/>
      <c r="E185" s="71"/>
      <c r="F185" s="71"/>
    </row>
    <row r="186" spans="1:6">
      <c r="A186" s="72"/>
      <c r="C186" s="70"/>
      <c r="D186" s="71"/>
      <c r="E186" s="71"/>
      <c r="F186" s="71"/>
    </row>
    <row r="187" spans="1:6">
      <c r="A187" s="72"/>
      <c r="C187" s="70"/>
      <c r="D187" s="71"/>
      <c r="E187" s="71"/>
      <c r="F187" s="71"/>
    </row>
    <row r="188" spans="1:6">
      <c r="A188" s="72"/>
      <c r="C188" s="70"/>
      <c r="D188" s="71"/>
      <c r="E188" s="71"/>
      <c r="F188" s="71"/>
    </row>
    <row r="189" spans="1:6">
      <c r="A189" s="72"/>
      <c r="C189" s="70"/>
      <c r="D189" s="71"/>
      <c r="E189" s="71"/>
      <c r="F189" s="71"/>
    </row>
    <row r="190" spans="1:6">
      <c r="A190" s="72"/>
      <c r="C190" s="70"/>
      <c r="D190" s="71"/>
      <c r="E190" s="71"/>
      <c r="F190" s="71"/>
    </row>
    <row r="191" spans="1:6">
      <c r="A191" s="72"/>
      <c r="C191" s="70"/>
      <c r="D191" s="71"/>
      <c r="E191" s="71"/>
      <c r="F191" s="71"/>
    </row>
    <row r="192" spans="1:6">
      <c r="A192" s="72"/>
      <c r="C192" s="70"/>
      <c r="D192" s="71"/>
      <c r="E192" s="71"/>
      <c r="F192" s="71"/>
    </row>
    <row r="193" spans="1:6">
      <c r="A193" s="72"/>
      <c r="C193" s="70"/>
      <c r="D193" s="71"/>
      <c r="E193" s="71"/>
      <c r="F193" s="71"/>
    </row>
    <row r="194" spans="1:6">
      <c r="A194" s="72"/>
      <c r="C194" s="70"/>
      <c r="D194" s="71"/>
      <c r="E194" s="71"/>
      <c r="F194" s="71"/>
    </row>
    <row r="195" spans="1:6">
      <c r="A195" s="72"/>
    </row>
    <row r="196" spans="1:6">
      <c r="A196" s="73"/>
    </row>
    <row r="197" spans="1:6">
      <c r="A197" s="73"/>
    </row>
    <row r="198" spans="1:6">
      <c r="A198" s="73"/>
    </row>
    <row r="199" spans="1:6">
      <c r="A199" s="73"/>
    </row>
    <row r="200" spans="1:6">
      <c r="A200" s="73"/>
    </row>
    <row r="201" spans="1:6">
      <c r="A201" s="73"/>
    </row>
    <row r="202" spans="1:6">
      <c r="A202" s="73"/>
    </row>
    <row r="203" spans="1:6">
      <c r="A203" s="73"/>
    </row>
    <row r="204" spans="1:6">
      <c r="A204" s="73"/>
    </row>
    <row r="205" spans="1:6">
      <c r="A205" s="73"/>
    </row>
    <row r="206" spans="1:6">
      <c r="A206" s="73"/>
    </row>
    <row r="207" spans="1:6">
      <c r="A207" s="73"/>
    </row>
    <row r="208" spans="1:6">
      <c r="A208" s="73"/>
    </row>
    <row r="209" spans="1:1">
      <c r="A209" s="73"/>
    </row>
    <row r="210" spans="1:1">
      <c r="A210" s="73"/>
    </row>
    <row r="211" spans="1:1">
      <c r="A211" s="73"/>
    </row>
    <row r="212" spans="1:1">
      <c r="A212" s="73"/>
    </row>
    <row r="213" spans="1:1">
      <c r="A213" s="73"/>
    </row>
    <row r="214" spans="1:1">
      <c r="A214" s="73"/>
    </row>
    <row r="215" spans="1:1">
      <c r="A215" s="73"/>
    </row>
    <row r="216" spans="1:1">
      <c r="A216" s="73"/>
    </row>
    <row r="217" spans="1:1">
      <c r="A217" s="73"/>
    </row>
    <row r="218" spans="1:1">
      <c r="A218" s="73"/>
    </row>
    <row r="219" spans="1:1">
      <c r="A219" s="73"/>
    </row>
    <row r="220" spans="1:1">
      <c r="A220" s="73"/>
    </row>
    <row r="221" spans="1:1">
      <c r="A221" s="73"/>
    </row>
    <row r="222" spans="1:1">
      <c r="A222" s="73"/>
    </row>
    <row r="223" spans="1:1">
      <c r="A223" s="73"/>
    </row>
    <row r="224" spans="1:1">
      <c r="A224" s="73"/>
    </row>
    <row r="225" spans="1:1">
      <c r="A225" s="73"/>
    </row>
    <row r="226" spans="1:1">
      <c r="A226" s="73"/>
    </row>
    <row r="227" spans="1:1">
      <c r="A227" s="73"/>
    </row>
    <row r="228" spans="1:1">
      <c r="A228" s="73"/>
    </row>
    <row r="229" spans="1:1">
      <c r="A229" s="73"/>
    </row>
    <row r="230" spans="1:1">
      <c r="A230" s="73"/>
    </row>
    <row r="231" spans="1:1">
      <c r="A231" s="73"/>
    </row>
    <row r="232" spans="1:1">
      <c r="A232" s="73"/>
    </row>
    <row r="233" spans="1:1">
      <c r="A233" s="73"/>
    </row>
    <row r="234" spans="1:1">
      <c r="A234" s="73"/>
    </row>
    <row r="235" spans="1:1">
      <c r="A235" s="73"/>
    </row>
    <row r="236" spans="1:1">
      <c r="A236" s="73"/>
    </row>
    <row r="237" spans="1:1">
      <c r="A237" s="73"/>
    </row>
    <row r="238" spans="1:1">
      <c r="A238" s="73"/>
    </row>
    <row r="239" spans="1:1">
      <c r="A239" s="73"/>
    </row>
    <row r="240" spans="1:1">
      <c r="A240" s="73"/>
    </row>
    <row r="241" spans="1:1">
      <c r="A241" s="73"/>
    </row>
    <row r="242" spans="1:1">
      <c r="A242" s="73"/>
    </row>
    <row r="243" spans="1:1">
      <c r="A243" s="73"/>
    </row>
    <row r="244" spans="1:1">
      <c r="A244" s="73"/>
    </row>
    <row r="245" spans="1:1">
      <c r="A245" s="73"/>
    </row>
    <row r="246" spans="1:1">
      <c r="A246" s="73"/>
    </row>
    <row r="247" spans="1:1">
      <c r="A247" s="73"/>
    </row>
    <row r="248" spans="1:1">
      <c r="A248" s="73"/>
    </row>
    <row r="249" spans="1:1">
      <c r="A249" s="73"/>
    </row>
    <row r="250" spans="1:1">
      <c r="A250" s="73"/>
    </row>
    <row r="251" spans="1:1">
      <c r="A251" s="73"/>
    </row>
    <row r="252" spans="1:1">
      <c r="A252" s="73"/>
    </row>
    <row r="253" spans="1:1">
      <c r="A253" s="73"/>
    </row>
    <row r="254" spans="1:1">
      <c r="A254" s="73"/>
    </row>
    <row r="255" spans="1:1">
      <c r="A255" s="73"/>
    </row>
    <row r="256" spans="1:1">
      <c r="A256" s="73"/>
    </row>
    <row r="257" spans="1:1">
      <c r="A257" s="73"/>
    </row>
    <row r="258" spans="1:1">
      <c r="A258" s="73"/>
    </row>
    <row r="259" spans="1:1">
      <c r="A259" s="73"/>
    </row>
    <row r="260" spans="1:1">
      <c r="A260" s="73"/>
    </row>
    <row r="261" spans="1:1">
      <c r="A261" s="73"/>
    </row>
    <row r="262" spans="1:1">
      <c r="A262" s="73"/>
    </row>
    <row r="263" spans="1:1">
      <c r="A263" s="73"/>
    </row>
    <row r="264" spans="1:1">
      <c r="A264" s="73"/>
    </row>
    <row r="265" spans="1:1">
      <c r="A265" s="73"/>
    </row>
    <row r="266" spans="1:1">
      <c r="A266" s="73"/>
    </row>
    <row r="267" spans="1:1">
      <c r="A267" s="73"/>
    </row>
    <row r="268" spans="1:1">
      <c r="A268" s="73"/>
    </row>
    <row r="269" spans="1:1">
      <c r="A269" s="73"/>
    </row>
    <row r="270" spans="1:1">
      <c r="A270" s="73"/>
    </row>
    <row r="271" spans="1:1">
      <c r="A271" s="73"/>
    </row>
    <row r="272" spans="1:1">
      <c r="A272" s="73"/>
    </row>
    <row r="273" spans="1:1">
      <c r="A273" s="73"/>
    </row>
    <row r="274" spans="1:1">
      <c r="A274" s="73"/>
    </row>
    <row r="275" spans="1:1">
      <c r="A275" s="73"/>
    </row>
    <row r="276" spans="1:1">
      <c r="A276" s="73"/>
    </row>
    <row r="277" spans="1:1">
      <c r="A277" s="73"/>
    </row>
    <row r="278" spans="1:1">
      <c r="A278" s="73"/>
    </row>
    <row r="279" spans="1:1">
      <c r="A279" s="73"/>
    </row>
    <row r="280" spans="1:1">
      <c r="A280" s="73"/>
    </row>
    <row r="281" spans="1:1">
      <c r="A281" s="73"/>
    </row>
    <row r="282" spans="1:1">
      <c r="A282" s="73"/>
    </row>
    <row r="283" spans="1:1">
      <c r="A283" s="73"/>
    </row>
    <row r="284" spans="1:1">
      <c r="A284" s="73"/>
    </row>
    <row r="285" spans="1:1">
      <c r="A285" s="73"/>
    </row>
    <row r="286" spans="1:1">
      <c r="A286" s="73"/>
    </row>
    <row r="287" spans="1:1">
      <c r="A287" s="73"/>
    </row>
    <row r="288" spans="1:1">
      <c r="A288" s="73"/>
    </row>
    <row r="289" spans="1:1">
      <c r="A289" s="73"/>
    </row>
    <row r="290" spans="1:1">
      <c r="A290" s="73"/>
    </row>
    <row r="291" spans="1:1">
      <c r="A291" s="73"/>
    </row>
    <row r="292" spans="1:1">
      <c r="A292" s="73"/>
    </row>
    <row r="293" spans="1:1">
      <c r="A293" s="73"/>
    </row>
    <row r="294" spans="1:1">
      <c r="A294" s="73"/>
    </row>
    <row r="295" spans="1:1">
      <c r="A295" s="73"/>
    </row>
    <row r="296" spans="1:1">
      <c r="A296" s="73"/>
    </row>
    <row r="297" spans="1:1">
      <c r="A297" s="73"/>
    </row>
    <row r="298" spans="1:1">
      <c r="A298" s="73"/>
    </row>
    <row r="299" spans="1:1">
      <c r="A299" s="73"/>
    </row>
    <row r="300" spans="1:1">
      <c r="A300" s="73"/>
    </row>
    <row r="301" spans="1:1">
      <c r="A301" s="73"/>
    </row>
    <row r="302" spans="1:1">
      <c r="A302" s="73"/>
    </row>
    <row r="303" spans="1:1">
      <c r="A303" s="73"/>
    </row>
    <row r="304" spans="1:1">
      <c r="A304" s="73"/>
    </row>
    <row r="305" spans="1:1">
      <c r="A305" s="73"/>
    </row>
    <row r="306" spans="1:1">
      <c r="A306" s="73"/>
    </row>
    <row r="307" spans="1:1">
      <c r="A307" s="73"/>
    </row>
    <row r="308" spans="1:1">
      <c r="A308" s="73"/>
    </row>
    <row r="309" spans="1:1">
      <c r="A309" s="73"/>
    </row>
    <row r="310" spans="1:1">
      <c r="A310" s="73"/>
    </row>
    <row r="311" spans="1:1">
      <c r="A311" s="73"/>
    </row>
    <row r="312" spans="1:1">
      <c r="A312" s="73"/>
    </row>
    <row r="313" spans="1:1">
      <c r="A313" s="73"/>
    </row>
    <row r="314" spans="1:1">
      <c r="A314" s="73"/>
    </row>
    <row r="315" spans="1:1">
      <c r="A315" s="73"/>
    </row>
    <row r="316" spans="1:1">
      <c r="A316" s="73"/>
    </row>
    <row r="317" spans="1:1">
      <c r="A317" s="73"/>
    </row>
    <row r="318" spans="1:1">
      <c r="A318" s="73"/>
    </row>
    <row r="319" spans="1:1">
      <c r="A319" s="73"/>
    </row>
    <row r="320" spans="1:1">
      <c r="A320" s="73"/>
    </row>
    <row r="321" spans="1:1">
      <c r="A321" s="73"/>
    </row>
    <row r="322" spans="1:1">
      <c r="A322" s="73"/>
    </row>
    <row r="323" spans="1:1">
      <c r="A323" s="73"/>
    </row>
    <row r="324" spans="1:1">
      <c r="A324" s="73"/>
    </row>
    <row r="325" spans="1:1">
      <c r="A325" s="73"/>
    </row>
    <row r="326" spans="1:1">
      <c r="A326" s="73"/>
    </row>
    <row r="327" spans="1:1">
      <c r="A327" s="73"/>
    </row>
    <row r="328" spans="1:1">
      <c r="A328" s="73"/>
    </row>
    <row r="329" spans="1:1">
      <c r="A329" s="73"/>
    </row>
    <row r="330" spans="1:1">
      <c r="A330" s="73"/>
    </row>
    <row r="331" spans="1:1">
      <c r="A331" s="73"/>
    </row>
    <row r="332" spans="1:1">
      <c r="A332" s="73"/>
    </row>
    <row r="333" spans="1:1">
      <c r="A333" s="73"/>
    </row>
    <row r="334" spans="1:1">
      <c r="A334" s="73"/>
    </row>
    <row r="335" spans="1:1">
      <c r="A335" s="73"/>
    </row>
    <row r="336" spans="1:1">
      <c r="A336" s="73"/>
    </row>
    <row r="337" spans="1:1">
      <c r="A337" s="73"/>
    </row>
    <row r="338" spans="1:1">
      <c r="A338" s="73"/>
    </row>
    <row r="339" spans="1:1">
      <c r="A339" s="73"/>
    </row>
    <row r="340" spans="1:1">
      <c r="A340" s="73"/>
    </row>
    <row r="341" spans="1:1">
      <c r="A341" s="73"/>
    </row>
    <row r="342" spans="1:1">
      <c r="A342" s="73"/>
    </row>
    <row r="343" spans="1:1">
      <c r="A343" s="73"/>
    </row>
    <row r="344" spans="1:1">
      <c r="A344" s="73"/>
    </row>
    <row r="345" spans="1:1">
      <c r="A345" s="73"/>
    </row>
    <row r="346" spans="1:1">
      <c r="A346" s="73"/>
    </row>
    <row r="347" spans="1:1">
      <c r="A347" s="73"/>
    </row>
    <row r="348" spans="1:1">
      <c r="A348" s="73"/>
    </row>
    <row r="349" spans="1:1">
      <c r="A349" s="73"/>
    </row>
    <row r="350" spans="1:1">
      <c r="A350" s="73"/>
    </row>
    <row r="351" spans="1:1">
      <c r="A351" s="73"/>
    </row>
    <row r="352" spans="1:1">
      <c r="A352" s="73"/>
    </row>
    <row r="353" spans="1:1">
      <c r="A353" s="73"/>
    </row>
    <row r="354" spans="1:1">
      <c r="A354" s="73"/>
    </row>
    <row r="355" spans="1:1">
      <c r="A355" s="73"/>
    </row>
    <row r="356" spans="1:1">
      <c r="A356" s="73"/>
    </row>
    <row r="357" spans="1:1">
      <c r="A357" s="73"/>
    </row>
    <row r="358" spans="1:1">
      <c r="A358" s="73"/>
    </row>
    <row r="359" spans="1:1">
      <c r="A359" s="73"/>
    </row>
    <row r="360" spans="1:1">
      <c r="A360" s="73"/>
    </row>
    <row r="361" spans="1:1">
      <c r="A361" s="73"/>
    </row>
    <row r="362" spans="1:1">
      <c r="A362" s="73"/>
    </row>
  </sheetData>
  <mergeCells count="5">
    <mergeCell ref="C139:D139"/>
    <mergeCell ref="C140:D140"/>
    <mergeCell ref="A2:F2"/>
    <mergeCell ref="F139:G139"/>
    <mergeCell ref="F140:G140"/>
  </mergeCells>
  <pageMargins left="0.23622047244094491" right="0.15748031496062992" top="0.19685039370078741" bottom="0.19685039370078741" header="0.19685039370078741" footer="0.31496062992125984"/>
  <pageSetup paperSize="9"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G381"/>
  <sheetViews>
    <sheetView view="pageBreakPreview" topLeftCell="A148" zoomScale="70" zoomScaleNormal="100" zoomScaleSheetLayoutView="70" workbookViewId="0">
      <selection activeCell="A41" sqref="A41"/>
    </sheetView>
  </sheetViews>
  <sheetFormatPr defaultRowHeight="18.75"/>
  <cols>
    <col min="1" max="1" width="63" style="43" customWidth="1"/>
    <col min="2" max="2" width="12" style="69" customWidth="1"/>
    <col min="3" max="3" width="16.140625" style="69" customWidth="1"/>
    <col min="4" max="4" width="16.7109375" style="69" customWidth="1"/>
    <col min="5" max="5" width="16.140625" style="69" customWidth="1"/>
    <col min="6" max="6" width="16" style="69" customWidth="1"/>
    <col min="7" max="7" width="18.140625" style="43" customWidth="1"/>
    <col min="8" max="16384" width="9.140625" style="43"/>
  </cols>
  <sheetData>
    <row r="1" spans="1:7" ht="27.75" customHeight="1">
      <c r="A1" s="357" t="s">
        <v>166</v>
      </c>
      <c r="B1" s="357"/>
      <c r="C1" s="357"/>
      <c r="D1" s="357"/>
      <c r="E1" s="357"/>
      <c r="F1" s="357"/>
    </row>
    <row r="2" spans="1:7" ht="19.5" customHeight="1">
      <c r="A2" s="44"/>
      <c r="B2" s="45"/>
      <c r="C2" s="44"/>
      <c r="D2" s="44"/>
      <c r="E2" s="44"/>
      <c r="F2" s="45"/>
      <c r="G2" s="80" t="s">
        <v>110</v>
      </c>
    </row>
    <row r="3" spans="1:7" ht="64.5" customHeight="1">
      <c r="A3" s="47" t="s">
        <v>34</v>
      </c>
      <c r="B3" s="48" t="s">
        <v>5</v>
      </c>
      <c r="C3" s="48" t="s">
        <v>635</v>
      </c>
      <c r="D3" s="48" t="s">
        <v>636</v>
      </c>
      <c r="E3" s="48" t="s">
        <v>637</v>
      </c>
      <c r="F3" s="74" t="s">
        <v>190</v>
      </c>
      <c r="G3" s="75" t="s">
        <v>191</v>
      </c>
    </row>
    <row r="4" spans="1:7" ht="18" customHeight="1">
      <c r="A4" s="50">
        <v>1</v>
      </c>
      <c r="B4" s="3">
        <v>2</v>
      </c>
      <c r="C4" s="3">
        <v>3</v>
      </c>
      <c r="D4" s="3">
        <v>4</v>
      </c>
      <c r="E4" s="3">
        <v>5</v>
      </c>
      <c r="F4" s="3">
        <v>6</v>
      </c>
      <c r="G4" s="49">
        <v>7</v>
      </c>
    </row>
    <row r="5" spans="1:7" ht="37.5" customHeight="1">
      <c r="A5" s="58" t="s">
        <v>15</v>
      </c>
      <c r="B5" s="51"/>
      <c r="C5" s="55">
        <f>C6+C69+C149+C153+C155</f>
        <v>4746.0999999999995</v>
      </c>
      <c r="D5" s="55">
        <f>D6+D69+D149+D153+D155</f>
        <v>7448.1</v>
      </c>
      <c r="E5" s="55">
        <f>E6+E69+E149+E153</f>
        <v>18145.101999999999</v>
      </c>
      <c r="F5" s="55">
        <f>E5-D5</f>
        <v>10697.001999999999</v>
      </c>
      <c r="G5" s="265">
        <f>E5/D5*100</f>
        <v>243.62054752218683</v>
      </c>
    </row>
    <row r="6" spans="1:7" ht="27.75" customHeight="1">
      <c r="A6" s="269" t="s">
        <v>0</v>
      </c>
      <c r="B6" s="266">
        <v>4020</v>
      </c>
      <c r="C6" s="159">
        <f>SUM(C7:C68)</f>
        <v>1272.9000000000001</v>
      </c>
      <c r="D6" s="159">
        <f t="shared" ref="D6:E6" si="0">SUM(D7:D68)</f>
        <v>4927.8</v>
      </c>
      <c r="E6" s="159">
        <f t="shared" si="0"/>
        <v>6122.8</v>
      </c>
      <c r="F6" s="159">
        <f t="shared" ref="F6:F155" si="1">E6-D6</f>
        <v>1195</v>
      </c>
      <c r="G6" s="267">
        <f>E6/D6*100</f>
        <v>124.25017249076666</v>
      </c>
    </row>
    <row r="7" spans="1:7" ht="19.5">
      <c r="A7" s="181" t="s">
        <v>471</v>
      </c>
      <c r="B7" s="142"/>
      <c r="C7" s="107"/>
      <c r="D7" s="167"/>
      <c r="E7" s="56">
        <v>8.5</v>
      </c>
      <c r="F7" s="56">
        <f t="shared" si="1"/>
        <v>8.5</v>
      </c>
      <c r="G7" s="267"/>
    </row>
    <row r="8" spans="1:7" ht="19.5">
      <c r="A8" s="181" t="s">
        <v>472</v>
      </c>
      <c r="B8" s="142"/>
      <c r="C8" s="107"/>
      <c r="D8" s="167"/>
      <c r="E8" s="56">
        <v>10.6</v>
      </c>
      <c r="F8" s="56">
        <f t="shared" si="1"/>
        <v>10.6</v>
      </c>
      <c r="G8" s="267"/>
    </row>
    <row r="9" spans="1:7" ht="19.5">
      <c r="A9" s="181" t="s">
        <v>473</v>
      </c>
      <c r="B9" s="142"/>
      <c r="C9" s="107"/>
      <c r="D9" s="167"/>
      <c r="E9" s="56">
        <v>15.8</v>
      </c>
      <c r="F9" s="56">
        <f t="shared" si="1"/>
        <v>15.8</v>
      </c>
      <c r="G9" s="267"/>
    </row>
    <row r="10" spans="1:7" ht="24.75" customHeight="1">
      <c r="A10" s="181" t="s">
        <v>563</v>
      </c>
      <c r="B10" s="142"/>
      <c r="C10" s="107"/>
      <c r="D10" s="167"/>
      <c r="E10" s="182">
        <v>194.5</v>
      </c>
      <c r="F10" s="56">
        <f t="shared" si="1"/>
        <v>194.5</v>
      </c>
      <c r="G10" s="267"/>
    </row>
    <row r="11" spans="1:7" ht="25.5" customHeight="1">
      <c r="A11" s="181" t="s">
        <v>475</v>
      </c>
      <c r="B11" s="142"/>
      <c r="C11" s="107"/>
      <c r="D11" s="167"/>
      <c r="E11" s="56">
        <v>49</v>
      </c>
      <c r="F11" s="56">
        <f t="shared" si="1"/>
        <v>49</v>
      </c>
      <c r="G11" s="267"/>
    </row>
    <row r="12" spans="1:7" ht="22.5" customHeight="1">
      <c r="A12" s="181" t="s">
        <v>476</v>
      </c>
      <c r="B12" s="142"/>
      <c r="C12" s="107"/>
      <c r="D12" s="167"/>
      <c r="E12" s="56">
        <v>40.799999999999997</v>
      </c>
      <c r="F12" s="56">
        <f t="shared" si="1"/>
        <v>40.799999999999997</v>
      </c>
      <c r="G12" s="267"/>
    </row>
    <row r="13" spans="1:7" ht="23.25" customHeight="1">
      <c r="A13" s="181" t="s">
        <v>477</v>
      </c>
      <c r="B13" s="142"/>
      <c r="C13" s="107"/>
      <c r="D13" s="167"/>
      <c r="E13" s="56">
        <v>604.70000000000005</v>
      </c>
      <c r="F13" s="56">
        <f t="shared" si="1"/>
        <v>604.70000000000005</v>
      </c>
      <c r="G13" s="267"/>
    </row>
    <row r="14" spans="1:7" ht="22.5" customHeight="1">
      <c r="A14" s="117" t="s">
        <v>478</v>
      </c>
      <c r="B14" s="142"/>
      <c r="C14" s="107"/>
      <c r="D14" s="167"/>
      <c r="E14" s="56">
        <v>189.9</v>
      </c>
      <c r="F14" s="56">
        <f t="shared" si="1"/>
        <v>189.9</v>
      </c>
      <c r="G14" s="267"/>
    </row>
    <row r="15" spans="1:7" ht="21" customHeight="1">
      <c r="A15" s="181" t="s">
        <v>479</v>
      </c>
      <c r="B15" s="142"/>
      <c r="C15" s="107"/>
      <c r="D15" s="167"/>
      <c r="E15" s="56">
        <v>175.7</v>
      </c>
      <c r="F15" s="56">
        <f t="shared" si="1"/>
        <v>175.7</v>
      </c>
      <c r="G15" s="267"/>
    </row>
    <row r="16" spans="1:7" ht="21" customHeight="1">
      <c r="A16" s="181" t="s">
        <v>480</v>
      </c>
      <c r="B16" s="142"/>
      <c r="C16" s="107"/>
      <c r="D16" s="167"/>
      <c r="E16" s="56">
        <f>80.8+80.9</f>
        <v>161.69999999999999</v>
      </c>
      <c r="F16" s="56">
        <f t="shared" si="1"/>
        <v>161.69999999999999</v>
      </c>
      <c r="G16" s="267"/>
    </row>
    <row r="17" spans="1:7" ht="21" customHeight="1">
      <c r="A17" s="117" t="s">
        <v>481</v>
      </c>
      <c r="B17" s="142"/>
      <c r="C17" s="107"/>
      <c r="D17" s="167"/>
      <c r="E17" s="56">
        <v>67.900000000000006</v>
      </c>
      <c r="F17" s="56">
        <f t="shared" si="1"/>
        <v>67.900000000000006</v>
      </c>
      <c r="G17" s="267"/>
    </row>
    <row r="18" spans="1:7">
      <c r="A18" s="117" t="s">
        <v>482</v>
      </c>
      <c r="B18" s="142"/>
      <c r="C18" s="107"/>
      <c r="D18" s="167"/>
      <c r="E18" s="56">
        <v>59.9</v>
      </c>
      <c r="F18" s="56">
        <f t="shared" si="1"/>
        <v>59.9</v>
      </c>
      <c r="G18" s="83"/>
    </row>
    <row r="19" spans="1:7" ht="36" customHeight="1">
      <c r="A19" s="117" t="s">
        <v>483</v>
      </c>
      <c r="B19" s="142"/>
      <c r="C19" s="107"/>
      <c r="D19" s="167"/>
      <c r="E19" s="56">
        <f>118.4+126.6</f>
        <v>245</v>
      </c>
      <c r="F19" s="56">
        <f t="shared" si="1"/>
        <v>245</v>
      </c>
      <c r="G19" s="83"/>
    </row>
    <row r="20" spans="1:7">
      <c r="A20" s="117" t="s">
        <v>484</v>
      </c>
      <c r="B20" s="142"/>
      <c r="C20" s="107"/>
      <c r="D20" s="167"/>
      <c r="E20" s="56">
        <v>1348.6</v>
      </c>
      <c r="F20" s="56">
        <f t="shared" si="1"/>
        <v>1348.6</v>
      </c>
      <c r="G20" s="83"/>
    </row>
    <row r="21" spans="1:7">
      <c r="A21" s="181" t="s">
        <v>485</v>
      </c>
      <c r="B21" s="142"/>
      <c r="C21" s="107"/>
      <c r="D21" s="167"/>
      <c r="E21" s="56">
        <v>173</v>
      </c>
      <c r="F21" s="56">
        <f t="shared" si="1"/>
        <v>173</v>
      </c>
      <c r="G21" s="83"/>
    </row>
    <row r="22" spans="1:7">
      <c r="A22" s="181" t="s">
        <v>486</v>
      </c>
      <c r="B22" s="142"/>
      <c r="C22" s="107"/>
      <c r="D22" s="167"/>
      <c r="E22" s="56">
        <v>36</v>
      </c>
      <c r="F22" s="56">
        <f t="shared" si="1"/>
        <v>36</v>
      </c>
      <c r="G22" s="83"/>
    </row>
    <row r="23" spans="1:7">
      <c r="A23" s="181" t="s">
        <v>487</v>
      </c>
      <c r="B23" s="142"/>
      <c r="C23" s="107"/>
      <c r="D23" s="167"/>
      <c r="E23" s="56">
        <v>96</v>
      </c>
      <c r="F23" s="56">
        <f t="shared" si="1"/>
        <v>96</v>
      </c>
      <c r="G23" s="83"/>
    </row>
    <row r="24" spans="1:7" ht="36" customHeight="1">
      <c r="A24" s="187" t="s">
        <v>488</v>
      </c>
      <c r="B24" s="142"/>
      <c r="C24" s="107"/>
      <c r="D24" s="167"/>
      <c r="E24" s="56">
        <v>74.599999999999994</v>
      </c>
      <c r="F24" s="56">
        <f t="shared" si="1"/>
        <v>74.599999999999994</v>
      </c>
      <c r="G24" s="83"/>
    </row>
    <row r="25" spans="1:7">
      <c r="A25" s="181" t="s">
        <v>489</v>
      </c>
      <c r="B25" s="142"/>
      <c r="C25" s="107"/>
      <c r="D25" s="167"/>
      <c r="E25" s="56">
        <v>284</v>
      </c>
      <c r="F25" s="56">
        <f t="shared" si="1"/>
        <v>284</v>
      </c>
      <c r="G25" s="83"/>
    </row>
    <row r="26" spans="1:7">
      <c r="A26" s="181" t="s">
        <v>490</v>
      </c>
      <c r="B26" s="142"/>
      <c r="C26" s="107"/>
      <c r="D26" s="167"/>
      <c r="E26" s="56">
        <v>7.5</v>
      </c>
      <c r="F26" s="56">
        <f t="shared" si="1"/>
        <v>7.5</v>
      </c>
      <c r="G26" s="83"/>
    </row>
    <row r="27" spans="1:7">
      <c r="A27" s="181" t="s">
        <v>491</v>
      </c>
      <c r="B27" s="142"/>
      <c r="C27" s="107"/>
      <c r="D27" s="167"/>
      <c r="E27" s="56">
        <v>11.8</v>
      </c>
      <c r="F27" s="56">
        <f t="shared" si="1"/>
        <v>11.8</v>
      </c>
      <c r="G27" s="83"/>
    </row>
    <row r="28" spans="1:7" ht="36" customHeight="1">
      <c r="A28" s="181" t="s">
        <v>492</v>
      </c>
      <c r="B28" s="142"/>
      <c r="C28" s="107"/>
      <c r="D28" s="167"/>
      <c r="E28" s="56">
        <v>647</v>
      </c>
      <c r="F28" s="56">
        <f t="shared" si="1"/>
        <v>647</v>
      </c>
      <c r="G28" s="83"/>
    </row>
    <row r="29" spans="1:7">
      <c r="A29" s="181" t="s">
        <v>493</v>
      </c>
      <c r="B29" s="142"/>
      <c r="C29" s="107"/>
      <c r="D29" s="167"/>
      <c r="E29" s="56">
        <v>39.5</v>
      </c>
      <c r="F29" s="56">
        <f t="shared" si="1"/>
        <v>39.5</v>
      </c>
      <c r="G29" s="83"/>
    </row>
    <row r="30" spans="1:7">
      <c r="A30" s="181" t="s">
        <v>494</v>
      </c>
      <c r="B30" s="142"/>
      <c r="C30" s="107"/>
      <c r="D30" s="167"/>
      <c r="E30" s="56">
        <v>18.7</v>
      </c>
      <c r="F30" s="56">
        <f t="shared" si="1"/>
        <v>18.7</v>
      </c>
      <c r="G30" s="83"/>
    </row>
    <row r="31" spans="1:7">
      <c r="A31" s="181" t="s">
        <v>564</v>
      </c>
      <c r="B31" s="142"/>
      <c r="C31" s="107"/>
      <c r="D31" s="167"/>
      <c r="E31" s="56">
        <v>15.5</v>
      </c>
      <c r="F31" s="56">
        <f t="shared" si="1"/>
        <v>15.5</v>
      </c>
      <c r="G31" s="83"/>
    </row>
    <row r="32" spans="1:7">
      <c r="A32" s="181" t="s">
        <v>495</v>
      </c>
      <c r="B32" s="142"/>
      <c r="C32" s="107"/>
      <c r="D32" s="167"/>
      <c r="E32" s="56">
        <v>235.2</v>
      </c>
      <c r="F32" s="56">
        <f t="shared" si="1"/>
        <v>235.2</v>
      </c>
      <c r="G32" s="83"/>
    </row>
    <row r="33" spans="1:7" ht="39.75" customHeight="1">
      <c r="A33" s="117" t="s">
        <v>496</v>
      </c>
      <c r="B33" s="142"/>
      <c r="C33" s="107"/>
      <c r="D33" s="167"/>
      <c r="E33" s="56">
        <v>7.7</v>
      </c>
      <c r="F33" s="56">
        <f t="shared" si="1"/>
        <v>7.7</v>
      </c>
      <c r="G33" s="83"/>
    </row>
    <row r="34" spans="1:7">
      <c r="A34" s="181" t="s">
        <v>497</v>
      </c>
      <c r="B34" s="142"/>
      <c r="C34" s="107"/>
      <c r="D34" s="167"/>
      <c r="E34" s="56">
        <v>16.8</v>
      </c>
      <c r="F34" s="56">
        <f t="shared" si="1"/>
        <v>16.8</v>
      </c>
      <c r="G34" s="83"/>
    </row>
    <row r="35" spans="1:7">
      <c r="A35" s="181" t="s">
        <v>498</v>
      </c>
      <c r="B35" s="142"/>
      <c r="C35" s="107"/>
      <c r="D35" s="167"/>
      <c r="E35" s="56">
        <v>22.3</v>
      </c>
      <c r="F35" s="56">
        <f t="shared" si="1"/>
        <v>22.3</v>
      </c>
      <c r="G35" s="83"/>
    </row>
    <row r="36" spans="1:7" ht="40.5" customHeight="1">
      <c r="A36" s="181" t="s">
        <v>499</v>
      </c>
      <c r="B36" s="142"/>
      <c r="C36" s="107"/>
      <c r="D36" s="167"/>
      <c r="E36" s="56">
        <v>13.9</v>
      </c>
      <c r="F36" s="56">
        <f t="shared" si="1"/>
        <v>13.9</v>
      </c>
      <c r="G36" s="83"/>
    </row>
    <row r="37" spans="1:7" ht="38.25" customHeight="1">
      <c r="A37" s="100" t="s">
        <v>500</v>
      </c>
      <c r="B37" s="188"/>
      <c r="C37" s="107"/>
      <c r="D37" s="167">
        <v>20.100000000000001</v>
      </c>
      <c r="E37" s="167"/>
      <c r="F37" s="56">
        <f t="shared" si="1"/>
        <v>-20.100000000000001</v>
      </c>
      <c r="G37" s="83"/>
    </row>
    <row r="38" spans="1:7">
      <c r="A38" s="100" t="s">
        <v>501</v>
      </c>
      <c r="B38" s="142"/>
      <c r="C38" s="107"/>
      <c r="D38" s="167">
        <v>12.6</v>
      </c>
      <c r="E38" s="167"/>
      <c r="F38" s="56">
        <f t="shared" si="1"/>
        <v>-12.6</v>
      </c>
      <c r="G38" s="83"/>
    </row>
    <row r="39" spans="1:7">
      <c r="A39" s="100" t="s">
        <v>502</v>
      </c>
      <c r="B39" s="142"/>
      <c r="C39" s="107"/>
      <c r="D39" s="167">
        <v>76.7</v>
      </c>
      <c r="E39" s="167">
        <v>209.6</v>
      </c>
      <c r="F39" s="56">
        <f t="shared" si="1"/>
        <v>132.89999999999998</v>
      </c>
      <c r="G39" s="81">
        <f>E39/D39*100</f>
        <v>273.27249022164273</v>
      </c>
    </row>
    <row r="40" spans="1:7" ht="22.5" customHeight="1">
      <c r="A40" s="100" t="s">
        <v>503</v>
      </c>
      <c r="B40" s="142"/>
      <c r="C40" s="107"/>
      <c r="D40" s="167">
        <v>336.6</v>
      </c>
      <c r="E40" s="167"/>
      <c r="F40" s="56">
        <f t="shared" si="1"/>
        <v>-336.6</v>
      </c>
      <c r="G40" s="81">
        <f t="shared" ref="G40:G47" si="2">E40/D40*100</f>
        <v>0</v>
      </c>
    </row>
    <row r="41" spans="1:7" ht="99.75" customHeight="1">
      <c r="A41" s="100" t="s">
        <v>504</v>
      </c>
      <c r="B41" s="142"/>
      <c r="C41" s="107"/>
      <c r="D41" s="167">
        <v>2550</v>
      </c>
      <c r="E41" s="167"/>
      <c r="F41" s="56">
        <f t="shared" si="1"/>
        <v>-2550</v>
      </c>
      <c r="G41" s="81">
        <f t="shared" si="2"/>
        <v>0</v>
      </c>
    </row>
    <row r="42" spans="1:7" ht="34.5" customHeight="1">
      <c r="A42" s="100" t="s">
        <v>505</v>
      </c>
      <c r="B42" s="142"/>
      <c r="C42" s="107"/>
      <c r="D42" s="167">
        <v>151</v>
      </c>
      <c r="E42" s="167"/>
      <c r="F42" s="56">
        <f t="shared" si="1"/>
        <v>-151</v>
      </c>
      <c r="G42" s="81">
        <f t="shared" si="2"/>
        <v>0</v>
      </c>
    </row>
    <row r="43" spans="1:7" ht="38.25" customHeight="1">
      <c r="A43" s="100" t="s">
        <v>506</v>
      </c>
      <c r="B43" s="142"/>
      <c r="C43" s="107"/>
      <c r="D43" s="167">
        <v>270</v>
      </c>
      <c r="E43" s="167"/>
      <c r="F43" s="56">
        <f t="shared" si="1"/>
        <v>-270</v>
      </c>
      <c r="G43" s="81">
        <f t="shared" si="2"/>
        <v>0</v>
      </c>
    </row>
    <row r="44" spans="1:7" ht="36" customHeight="1">
      <c r="A44" s="100" t="s">
        <v>507</v>
      </c>
      <c r="B44" s="142"/>
      <c r="C44" s="107"/>
      <c r="D44" s="167">
        <v>455.5</v>
      </c>
      <c r="E44" s="167">
        <v>858.9</v>
      </c>
      <c r="F44" s="56">
        <f t="shared" si="1"/>
        <v>403.4</v>
      </c>
      <c r="G44" s="81">
        <f t="shared" si="2"/>
        <v>188.56201975850712</v>
      </c>
    </row>
    <row r="45" spans="1:7" ht="38.25" customHeight="1">
      <c r="A45" s="100" t="s">
        <v>508</v>
      </c>
      <c r="B45" s="142"/>
      <c r="C45" s="107"/>
      <c r="D45" s="167">
        <v>557.79999999999995</v>
      </c>
      <c r="E45" s="167"/>
      <c r="F45" s="56">
        <f t="shared" si="1"/>
        <v>-557.79999999999995</v>
      </c>
      <c r="G45" s="81">
        <f t="shared" si="2"/>
        <v>0</v>
      </c>
    </row>
    <row r="46" spans="1:7" ht="37.5" customHeight="1">
      <c r="A46" s="100" t="s">
        <v>509</v>
      </c>
      <c r="B46" s="142"/>
      <c r="C46" s="107"/>
      <c r="D46" s="167">
        <v>383.8</v>
      </c>
      <c r="E46" s="167"/>
      <c r="F46" s="56">
        <f t="shared" si="1"/>
        <v>-383.8</v>
      </c>
      <c r="G46" s="81">
        <f t="shared" si="2"/>
        <v>0</v>
      </c>
    </row>
    <row r="47" spans="1:7" ht="39" customHeight="1">
      <c r="A47" s="100" t="s">
        <v>510</v>
      </c>
      <c r="B47" s="142"/>
      <c r="C47" s="107"/>
      <c r="D47" s="167">
        <v>40</v>
      </c>
      <c r="E47" s="167">
        <v>18.2</v>
      </c>
      <c r="F47" s="56">
        <f t="shared" si="1"/>
        <v>-21.8</v>
      </c>
      <c r="G47" s="81">
        <f t="shared" si="2"/>
        <v>45.499999999999993</v>
      </c>
    </row>
    <row r="48" spans="1:7" ht="65.25" customHeight="1">
      <c r="A48" s="100" t="s">
        <v>511</v>
      </c>
      <c r="B48" s="142"/>
      <c r="C48" s="107"/>
      <c r="D48" s="167">
        <v>73.7</v>
      </c>
      <c r="E48" s="167"/>
      <c r="F48" s="56">
        <f t="shared" si="1"/>
        <v>-73.7</v>
      </c>
      <c r="G48" s="83"/>
    </row>
    <row r="49" spans="1:7">
      <c r="A49" s="100" t="s">
        <v>216</v>
      </c>
      <c r="B49" s="142"/>
      <c r="C49" s="107">
        <v>955.8</v>
      </c>
      <c r="D49" s="107"/>
      <c r="E49" s="107"/>
      <c r="F49" s="56">
        <f t="shared" si="1"/>
        <v>0</v>
      </c>
      <c r="G49" s="83"/>
    </row>
    <row r="50" spans="1:7">
      <c r="A50" s="100" t="s">
        <v>512</v>
      </c>
      <c r="B50" s="142"/>
      <c r="C50" s="281">
        <v>11.2</v>
      </c>
      <c r="D50" s="107"/>
      <c r="E50" s="107"/>
      <c r="F50" s="56">
        <f t="shared" si="1"/>
        <v>0</v>
      </c>
      <c r="G50" s="83"/>
    </row>
    <row r="51" spans="1:7">
      <c r="A51" s="100" t="s">
        <v>242</v>
      </c>
      <c r="B51" s="109"/>
      <c r="C51" s="107">
        <f>12.5+1.5</f>
        <v>14</v>
      </c>
      <c r="D51" s="109"/>
      <c r="E51" s="109"/>
      <c r="F51" s="56">
        <f t="shared" si="1"/>
        <v>0</v>
      </c>
      <c r="G51" s="83"/>
    </row>
    <row r="52" spans="1:7" ht="41.25" customHeight="1">
      <c r="A52" s="100" t="s">
        <v>513</v>
      </c>
      <c r="B52" s="109"/>
      <c r="C52" s="107">
        <v>12.5</v>
      </c>
      <c r="D52" s="109"/>
      <c r="E52" s="109"/>
      <c r="F52" s="56">
        <f t="shared" si="1"/>
        <v>0</v>
      </c>
      <c r="G52" s="83"/>
    </row>
    <row r="53" spans="1:7">
      <c r="A53" s="100" t="s">
        <v>515</v>
      </c>
      <c r="B53" s="109"/>
      <c r="C53" s="107">
        <f>19.8+12.5+27.7</f>
        <v>60</v>
      </c>
      <c r="D53" s="109"/>
      <c r="E53" s="109"/>
      <c r="F53" s="56">
        <f t="shared" si="1"/>
        <v>0</v>
      </c>
      <c r="G53" s="83"/>
    </row>
    <row r="54" spans="1:7">
      <c r="A54" s="100" t="s">
        <v>565</v>
      </c>
      <c r="B54" s="109"/>
      <c r="C54" s="107">
        <v>12.3</v>
      </c>
      <c r="D54" s="109"/>
      <c r="E54" s="109"/>
      <c r="F54" s="56">
        <f t="shared" si="1"/>
        <v>0</v>
      </c>
      <c r="G54" s="83"/>
    </row>
    <row r="55" spans="1:7">
      <c r="A55" s="100" t="s">
        <v>566</v>
      </c>
      <c r="B55" s="109"/>
      <c r="C55" s="107">
        <v>7.5</v>
      </c>
      <c r="D55" s="109"/>
      <c r="E55" s="109"/>
      <c r="F55" s="56">
        <f t="shared" si="1"/>
        <v>0</v>
      </c>
      <c r="G55" s="83"/>
    </row>
    <row r="56" spans="1:7">
      <c r="A56" s="117" t="s">
        <v>567</v>
      </c>
      <c r="B56" s="142"/>
      <c r="C56" s="107"/>
      <c r="D56" s="167"/>
      <c r="E56" s="182">
        <v>20.6</v>
      </c>
      <c r="F56" s="56">
        <f t="shared" si="1"/>
        <v>20.6</v>
      </c>
      <c r="G56" s="83"/>
    </row>
    <row r="57" spans="1:7">
      <c r="A57" s="117" t="s">
        <v>568</v>
      </c>
      <c r="B57" s="142"/>
      <c r="C57" s="107"/>
      <c r="D57" s="167"/>
      <c r="E57" s="182">
        <v>8.3000000000000007</v>
      </c>
      <c r="F57" s="56">
        <f t="shared" si="1"/>
        <v>8.3000000000000007</v>
      </c>
      <c r="G57" s="83"/>
    </row>
    <row r="58" spans="1:7">
      <c r="A58" s="181" t="s">
        <v>569</v>
      </c>
      <c r="B58" s="142"/>
      <c r="C58" s="107"/>
      <c r="D58" s="167"/>
      <c r="E58" s="56">
        <v>7.2</v>
      </c>
      <c r="F58" s="56">
        <f t="shared" si="1"/>
        <v>7.2</v>
      </c>
      <c r="G58" s="83"/>
    </row>
    <row r="59" spans="1:7">
      <c r="A59" s="181" t="s">
        <v>570</v>
      </c>
      <c r="B59" s="142"/>
      <c r="C59" s="107"/>
      <c r="D59" s="167"/>
      <c r="E59" s="56">
        <v>17.2</v>
      </c>
      <c r="F59" s="56">
        <f t="shared" si="1"/>
        <v>17.2</v>
      </c>
      <c r="G59" s="83"/>
    </row>
    <row r="60" spans="1:7">
      <c r="A60" s="181" t="s">
        <v>571</v>
      </c>
      <c r="B60" s="142"/>
      <c r="C60" s="107"/>
      <c r="D60" s="167"/>
      <c r="E60" s="56">
        <v>16.100000000000001</v>
      </c>
      <c r="F60" s="56">
        <f t="shared" si="1"/>
        <v>16.100000000000001</v>
      </c>
      <c r="G60" s="83"/>
    </row>
    <row r="61" spans="1:7">
      <c r="A61" s="181" t="s">
        <v>572</v>
      </c>
      <c r="B61" s="142"/>
      <c r="C61" s="107"/>
      <c r="D61" s="167"/>
      <c r="E61" s="56">
        <v>14.1</v>
      </c>
      <c r="F61" s="56">
        <f t="shared" si="1"/>
        <v>14.1</v>
      </c>
      <c r="G61" s="83"/>
    </row>
    <row r="62" spans="1:7">
      <c r="A62" s="181" t="s">
        <v>573</v>
      </c>
      <c r="B62" s="142"/>
      <c r="C62" s="107"/>
      <c r="D62" s="167"/>
      <c r="E62" s="56">
        <v>14.9</v>
      </c>
      <c r="F62" s="56">
        <f t="shared" si="1"/>
        <v>14.9</v>
      </c>
      <c r="G62" s="83"/>
    </row>
    <row r="63" spans="1:7" ht="19.5" customHeight="1">
      <c r="A63" s="181" t="s">
        <v>574</v>
      </c>
      <c r="B63" s="142"/>
      <c r="C63" s="107"/>
      <c r="D63" s="167"/>
      <c r="E63" s="56">
        <v>47.6</v>
      </c>
      <c r="F63" s="56">
        <f t="shared" si="1"/>
        <v>47.6</v>
      </c>
      <c r="G63" s="83"/>
    </row>
    <row r="64" spans="1:7" ht="24.75" customHeight="1">
      <c r="A64" s="181" t="s">
        <v>575</v>
      </c>
      <c r="B64" s="188"/>
      <c r="C64" s="107"/>
      <c r="D64" s="167"/>
      <c r="E64" s="56">
        <v>18</v>
      </c>
      <c r="F64" s="56">
        <f t="shared" si="1"/>
        <v>18</v>
      </c>
      <c r="G64" s="83"/>
    </row>
    <row r="65" spans="1:7">
      <c r="A65" s="181" t="s">
        <v>576</v>
      </c>
      <c r="B65" s="188"/>
      <c r="C65" s="107">
        <f>10.1+3.1</f>
        <v>13.2</v>
      </c>
      <c r="D65" s="167"/>
      <c r="E65" s="56"/>
      <c r="F65" s="56">
        <f t="shared" si="1"/>
        <v>0</v>
      </c>
      <c r="G65" s="83"/>
    </row>
    <row r="66" spans="1:7">
      <c r="A66" s="181" t="s">
        <v>577</v>
      </c>
      <c r="B66" s="188"/>
      <c r="C66" s="107">
        <v>1</v>
      </c>
      <c r="D66" s="167"/>
      <c r="E66" s="56"/>
      <c r="F66" s="56">
        <f t="shared" si="1"/>
        <v>0</v>
      </c>
      <c r="G66" s="83"/>
    </row>
    <row r="67" spans="1:7">
      <c r="A67" s="181" t="s">
        <v>578</v>
      </c>
      <c r="B67" s="188"/>
      <c r="C67" s="107">
        <v>14.5</v>
      </c>
      <c r="D67" s="167"/>
      <c r="E67" s="56"/>
      <c r="F67" s="56">
        <f t="shared" si="1"/>
        <v>0</v>
      </c>
      <c r="G67" s="83"/>
    </row>
    <row r="68" spans="1:7">
      <c r="A68" s="181" t="s">
        <v>579</v>
      </c>
      <c r="B68" s="188"/>
      <c r="C68" s="107">
        <v>170.9</v>
      </c>
      <c r="D68" s="167"/>
      <c r="E68" s="56"/>
      <c r="F68" s="56">
        <f t="shared" si="1"/>
        <v>0</v>
      </c>
      <c r="G68" s="83"/>
    </row>
    <row r="69" spans="1:7" s="57" customFormat="1" ht="38.25" customHeight="1">
      <c r="A69" s="270" t="s">
        <v>631</v>
      </c>
      <c r="B69" s="268">
        <v>4030</v>
      </c>
      <c r="C69" s="159">
        <f>SUM(C70:C148)</f>
        <v>394.7</v>
      </c>
      <c r="D69" s="159">
        <f t="shared" ref="D69:E69" si="3">SUM(D70:D148)</f>
        <v>532.79999999999995</v>
      </c>
      <c r="E69" s="159">
        <f t="shared" si="3"/>
        <v>988.69999999999959</v>
      </c>
      <c r="F69" s="159">
        <f t="shared" si="1"/>
        <v>455.89999999999964</v>
      </c>
      <c r="G69" s="267">
        <f>E69/D69*100</f>
        <v>185.56681681681675</v>
      </c>
    </row>
    <row r="70" spans="1:7" s="57" customFormat="1" ht="57" customHeight="1">
      <c r="A70" s="100" t="s">
        <v>580</v>
      </c>
      <c r="B70" s="142"/>
      <c r="C70" s="107">
        <v>325</v>
      </c>
      <c r="D70" s="107">
        <v>266.8</v>
      </c>
      <c r="E70" s="107">
        <v>258.8</v>
      </c>
      <c r="F70" s="56">
        <f t="shared" si="1"/>
        <v>-8</v>
      </c>
      <c r="G70" s="81">
        <f>E70/D70*100</f>
        <v>97.001499250374806</v>
      </c>
    </row>
    <row r="71" spans="1:7" s="57" customFormat="1">
      <c r="A71" s="100" t="s">
        <v>242</v>
      </c>
      <c r="B71" s="142"/>
      <c r="C71" s="107">
        <v>31.2</v>
      </c>
      <c r="D71" s="107">
        <v>266</v>
      </c>
      <c r="E71" s="107"/>
      <c r="F71" s="56">
        <f t="shared" si="1"/>
        <v>-266</v>
      </c>
      <c r="G71" s="83"/>
    </row>
    <row r="72" spans="1:7" s="57" customFormat="1">
      <c r="A72" s="100" t="s">
        <v>519</v>
      </c>
      <c r="B72" s="142"/>
      <c r="C72" s="107">
        <v>26.5</v>
      </c>
      <c r="D72" s="107"/>
      <c r="E72" s="107"/>
      <c r="F72" s="56">
        <f t="shared" si="1"/>
        <v>0</v>
      </c>
      <c r="G72" s="83"/>
    </row>
    <row r="73" spans="1:7" s="57" customFormat="1">
      <c r="A73" s="100" t="s">
        <v>520</v>
      </c>
      <c r="B73" s="142"/>
      <c r="C73" s="107">
        <v>3.6</v>
      </c>
      <c r="D73" s="107"/>
      <c r="E73" s="107"/>
      <c r="F73" s="56">
        <f t="shared" si="1"/>
        <v>0</v>
      </c>
      <c r="G73" s="83"/>
    </row>
    <row r="74" spans="1:7" s="57" customFormat="1">
      <c r="A74" s="100" t="s">
        <v>628</v>
      </c>
      <c r="B74" s="142"/>
      <c r="C74" s="107">
        <v>0.5</v>
      </c>
      <c r="D74" s="107"/>
      <c r="E74" s="107"/>
      <c r="F74" s="56">
        <f t="shared" si="1"/>
        <v>0</v>
      </c>
      <c r="G74" s="83"/>
    </row>
    <row r="75" spans="1:7" s="57" customFormat="1">
      <c r="A75" s="100" t="s">
        <v>522</v>
      </c>
      <c r="B75" s="142"/>
      <c r="C75" s="107">
        <v>2.5</v>
      </c>
      <c r="D75" s="107"/>
      <c r="E75" s="109"/>
      <c r="F75" s="56">
        <f t="shared" si="1"/>
        <v>0</v>
      </c>
      <c r="G75" s="83"/>
    </row>
    <row r="76" spans="1:7" s="57" customFormat="1" ht="38.25" customHeight="1">
      <c r="A76" s="100" t="s">
        <v>581</v>
      </c>
      <c r="B76" s="142"/>
      <c r="C76" s="107">
        <v>1</v>
      </c>
      <c r="D76" s="107"/>
      <c r="E76" s="107"/>
      <c r="F76" s="56">
        <f t="shared" si="1"/>
        <v>0</v>
      </c>
      <c r="G76" s="83"/>
    </row>
    <row r="77" spans="1:7" s="57" customFormat="1">
      <c r="A77" s="117" t="s">
        <v>524</v>
      </c>
      <c r="B77" s="142"/>
      <c r="C77" s="107"/>
      <c r="D77" s="107"/>
      <c r="E77" s="56">
        <v>6.6</v>
      </c>
      <c r="F77" s="56">
        <f t="shared" si="1"/>
        <v>6.6</v>
      </c>
      <c r="G77" s="83"/>
    </row>
    <row r="78" spans="1:7" s="57" customFormat="1">
      <c r="A78" s="117" t="s">
        <v>525</v>
      </c>
      <c r="B78" s="142"/>
      <c r="C78" s="107"/>
      <c r="D78" s="107"/>
      <c r="E78" s="56">
        <v>4.4000000000000004</v>
      </c>
      <c r="F78" s="56">
        <f t="shared" si="1"/>
        <v>4.4000000000000004</v>
      </c>
      <c r="G78" s="83"/>
    </row>
    <row r="79" spans="1:7" s="57" customFormat="1">
      <c r="A79" s="117" t="s">
        <v>526</v>
      </c>
      <c r="B79" s="142"/>
      <c r="C79" s="107"/>
      <c r="D79" s="107"/>
      <c r="E79" s="56">
        <v>4.2</v>
      </c>
      <c r="F79" s="56">
        <f t="shared" si="1"/>
        <v>4.2</v>
      </c>
      <c r="G79" s="83"/>
    </row>
    <row r="80" spans="1:7" s="57" customFormat="1">
      <c r="A80" s="117" t="s">
        <v>527</v>
      </c>
      <c r="B80" s="142"/>
      <c r="C80" s="107"/>
      <c r="D80" s="107"/>
      <c r="E80" s="56">
        <v>12.4</v>
      </c>
      <c r="F80" s="56">
        <f t="shared" si="1"/>
        <v>12.4</v>
      </c>
      <c r="G80" s="83"/>
    </row>
    <row r="81" spans="1:7" s="57" customFormat="1">
      <c r="A81" s="117" t="s">
        <v>528</v>
      </c>
      <c r="B81" s="142"/>
      <c r="C81" s="107"/>
      <c r="D81" s="107"/>
      <c r="E81" s="56">
        <v>2</v>
      </c>
      <c r="F81" s="56">
        <f t="shared" si="1"/>
        <v>2</v>
      </c>
      <c r="G81" s="83"/>
    </row>
    <row r="82" spans="1:7" s="57" customFormat="1">
      <c r="A82" s="117" t="s">
        <v>529</v>
      </c>
      <c r="B82" s="142"/>
      <c r="C82" s="107"/>
      <c r="D82" s="107"/>
      <c r="E82" s="56">
        <v>37.299999999999997</v>
      </c>
      <c r="F82" s="56">
        <f t="shared" si="1"/>
        <v>37.299999999999997</v>
      </c>
      <c r="G82" s="83"/>
    </row>
    <row r="83" spans="1:7" s="57" customFormat="1">
      <c r="A83" s="117" t="s">
        <v>530</v>
      </c>
      <c r="B83" s="142"/>
      <c r="C83" s="107"/>
      <c r="D83" s="107"/>
      <c r="E83" s="56">
        <v>7.7</v>
      </c>
      <c r="F83" s="56">
        <f t="shared" si="1"/>
        <v>7.7</v>
      </c>
      <c r="G83" s="83"/>
    </row>
    <row r="84" spans="1:7" s="57" customFormat="1">
      <c r="A84" s="117" t="s">
        <v>531</v>
      </c>
      <c r="B84" s="142"/>
      <c r="C84" s="107"/>
      <c r="D84" s="107"/>
      <c r="E84" s="56">
        <v>1.1000000000000001</v>
      </c>
      <c r="F84" s="56">
        <f t="shared" si="1"/>
        <v>1.1000000000000001</v>
      </c>
      <c r="G84" s="83"/>
    </row>
    <row r="85" spans="1:7" s="57" customFormat="1" ht="38.25" customHeight="1">
      <c r="A85" s="117" t="s">
        <v>532</v>
      </c>
      <c r="B85" s="142"/>
      <c r="C85" s="107"/>
      <c r="D85" s="107"/>
      <c r="E85" s="56">
        <v>0.6</v>
      </c>
      <c r="F85" s="56">
        <f t="shared" si="1"/>
        <v>0.6</v>
      </c>
      <c r="G85" s="83"/>
    </row>
    <row r="86" spans="1:7" s="57" customFormat="1">
      <c r="A86" s="100" t="s">
        <v>533</v>
      </c>
      <c r="B86" s="142"/>
      <c r="C86" s="107">
        <v>4.4000000000000004</v>
      </c>
      <c r="D86" s="107"/>
      <c r="E86" s="107">
        <v>4.2</v>
      </c>
      <c r="F86" s="56">
        <f t="shared" si="1"/>
        <v>4.2</v>
      </c>
      <c r="G86" s="83"/>
    </row>
    <row r="87" spans="1:7" s="57" customFormat="1" ht="22.5">
      <c r="A87" s="189" t="s">
        <v>534</v>
      </c>
      <c r="B87" s="142"/>
      <c r="C87" s="107"/>
      <c r="D87" s="107"/>
      <c r="E87" s="56">
        <v>15.5</v>
      </c>
      <c r="F87" s="56">
        <f t="shared" si="1"/>
        <v>15.5</v>
      </c>
      <c r="G87" s="83"/>
    </row>
    <row r="88" spans="1:7" s="57" customFormat="1">
      <c r="A88" s="117" t="s">
        <v>535</v>
      </c>
      <c r="B88" s="142"/>
      <c r="C88" s="107"/>
      <c r="D88" s="107"/>
      <c r="E88" s="56">
        <v>7.9</v>
      </c>
      <c r="F88" s="56">
        <f t="shared" si="1"/>
        <v>7.9</v>
      </c>
      <c r="G88" s="83"/>
    </row>
    <row r="89" spans="1:7" s="57" customFormat="1">
      <c r="A89" s="117" t="s">
        <v>536</v>
      </c>
      <c r="B89" s="142"/>
      <c r="C89" s="107"/>
      <c r="D89" s="107"/>
      <c r="E89" s="56">
        <v>1.1000000000000001</v>
      </c>
      <c r="F89" s="56">
        <f t="shared" si="1"/>
        <v>1.1000000000000001</v>
      </c>
      <c r="G89" s="83"/>
    </row>
    <row r="90" spans="1:7" s="57" customFormat="1">
      <c r="A90" s="117" t="s">
        <v>537</v>
      </c>
      <c r="B90" s="142"/>
      <c r="C90" s="107"/>
      <c r="D90" s="107"/>
      <c r="E90" s="56">
        <v>5</v>
      </c>
      <c r="F90" s="56">
        <f t="shared" si="1"/>
        <v>5</v>
      </c>
      <c r="G90" s="83"/>
    </row>
    <row r="91" spans="1:7" s="57" customFormat="1">
      <c r="A91" s="117" t="s">
        <v>538</v>
      </c>
      <c r="B91" s="142"/>
      <c r="C91" s="107"/>
      <c r="D91" s="107"/>
      <c r="E91" s="56">
        <v>49.9</v>
      </c>
      <c r="F91" s="56">
        <f t="shared" si="1"/>
        <v>49.9</v>
      </c>
      <c r="G91" s="83"/>
    </row>
    <row r="92" spans="1:7" s="57" customFormat="1">
      <c r="A92" s="117" t="s">
        <v>539</v>
      </c>
      <c r="B92" s="142"/>
      <c r="C92" s="107"/>
      <c r="D92" s="107"/>
      <c r="E92" s="56">
        <v>1.4</v>
      </c>
      <c r="F92" s="56">
        <f t="shared" si="1"/>
        <v>1.4</v>
      </c>
      <c r="G92" s="83"/>
    </row>
    <row r="93" spans="1:7" s="57" customFormat="1">
      <c r="A93" s="117" t="s">
        <v>540</v>
      </c>
      <c r="B93" s="142"/>
      <c r="C93" s="107"/>
      <c r="D93" s="107"/>
      <c r="E93" s="56">
        <v>2.4</v>
      </c>
      <c r="F93" s="56">
        <f t="shared" si="1"/>
        <v>2.4</v>
      </c>
      <c r="G93" s="83"/>
    </row>
    <row r="94" spans="1:7" s="57" customFormat="1">
      <c r="A94" s="117" t="s">
        <v>541</v>
      </c>
      <c r="B94" s="142"/>
      <c r="C94" s="107"/>
      <c r="D94" s="107"/>
      <c r="E94" s="56">
        <v>4.5</v>
      </c>
      <c r="F94" s="56">
        <f t="shared" si="1"/>
        <v>4.5</v>
      </c>
      <c r="G94" s="83"/>
    </row>
    <row r="95" spans="1:7" s="57" customFormat="1">
      <c r="A95" s="117" t="s">
        <v>542</v>
      </c>
      <c r="B95" s="142"/>
      <c r="C95" s="107"/>
      <c r="D95" s="107"/>
      <c r="E95" s="56">
        <v>5.2</v>
      </c>
      <c r="F95" s="56">
        <f t="shared" si="1"/>
        <v>5.2</v>
      </c>
      <c r="G95" s="83"/>
    </row>
    <row r="96" spans="1:7" s="57" customFormat="1">
      <c r="A96" s="117" t="s">
        <v>543</v>
      </c>
      <c r="B96" s="142"/>
      <c r="C96" s="107"/>
      <c r="D96" s="107"/>
      <c r="E96" s="56">
        <v>12</v>
      </c>
      <c r="F96" s="56">
        <f t="shared" si="1"/>
        <v>12</v>
      </c>
      <c r="G96" s="83"/>
    </row>
    <row r="97" spans="1:7" s="57" customFormat="1">
      <c r="A97" s="117" t="s">
        <v>544</v>
      </c>
      <c r="B97" s="142"/>
      <c r="C97" s="107"/>
      <c r="D97" s="107"/>
      <c r="E97" s="56">
        <v>2.9</v>
      </c>
      <c r="F97" s="56">
        <f t="shared" si="1"/>
        <v>2.9</v>
      </c>
      <c r="G97" s="83"/>
    </row>
    <row r="98" spans="1:7" s="57" customFormat="1">
      <c r="A98" s="190" t="s">
        <v>545</v>
      </c>
      <c r="B98" s="142"/>
      <c r="C98" s="107"/>
      <c r="D98" s="107"/>
      <c r="E98" s="56">
        <v>4.2</v>
      </c>
      <c r="F98" s="56">
        <f t="shared" si="1"/>
        <v>4.2</v>
      </c>
      <c r="G98" s="83"/>
    </row>
    <row r="99" spans="1:7" s="57" customFormat="1">
      <c r="A99" s="181" t="s">
        <v>546</v>
      </c>
      <c r="B99" s="142"/>
      <c r="C99" s="107"/>
      <c r="D99" s="167"/>
      <c r="E99" s="56">
        <v>0.5</v>
      </c>
      <c r="F99" s="56">
        <f t="shared" si="1"/>
        <v>0.5</v>
      </c>
      <c r="G99" s="83"/>
    </row>
    <row r="100" spans="1:7" s="57" customFormat="1">
      <c r="A100" s="117" t="s">
        <v>547</v>
      </c>
      <c r="B100" s="142"/>
      <c r="C100" s="107"/>
      <c r="D100" s="107"/>
      <c r="E100" s="56">
        <f>13.9+10.7</f>
        <v>24.6</v>
      </c>
      <c r="F100" s="56">
        <f t="shared" si="1"/>
        <v>24.6</v>
      </c>
      <c r="G100" s="83"/>
    </row>
    <row r="101" spans="1:7" s="57" customFormat="1">
      <c r="A101" s="117" t="s">
        <v>548</v>
      </c>
      <c r="B101" s="142"/>
      <c r="C101" s="107"/>
      <c r="D101" s="107"/>
      <c r="E101" s="56">
        <v>18.399999999999999</v>
      </c>
      <c r="F101" s="56">
        <f t="shared" si="1"/>
        <v>18.399999999999999</v>
      </c>
      <c r="G101" s="83"/>
    </row>
    <row r="102" spans="1:7" s="57" customFormat="1">
      <c r="A102" s="117" t="s">
        <v>549</v>
      </c>
      <c r="B102" s="142"/>
      <c r="C102" s="107"/>
      <c r="D102" s="107"/>
      <c r="E102" s="56">
        <v>4.5</v>
      </c>
      <c r="F102" s="56">
        <f t="shared" si="1"/>
        <v>4.5</v>
      </c>
      <c r="G102" s="83"/>
    </row>
    <row r="103" spans="1:7" s="57" customFormat="1">
      <c r="A103" s="117" t="s">
        <v>550</v>
      </c>
      <c r="B103" s="142"/>
      <c r="C103" s="107"/>
      <c r="D103" s="107"/>
      <c r="E103" s="56">
        <v>4.3</v>
      </c>
      <c r="F103" s="56">
        <f t="shared" si="1"/>
        <v>4.3</v>
      </c>
      <c r="G103" s="83"/>
    </row>
    <row r="104" spans="1:7" s="57" customFormat="1">
      <c r="A104" s="181" t="s">
        <v>551</v>
      </c>
      <c r="B104" s="142"/>
      <c r="C104" s="107"/>
      <c r="D104" s="167"/>
      <c r="E104" s="56">
        <v>3.4</v>
      </c>
      <c r="F104" s="56">
        <f t="shared" si="1"/>
        <v>3.4</v>
      </c>
      <c r="G104" s="83"/>
    </row>
    <row r="105" spans="1:7" s="57" customFormat="1">
      <c r="A105" s="181" t="s">
        <v>552</v>
      </c>
      <c r="B105" s="142"/>
      <c r="C105" s="107"/>
      <c r="D105" s="167"/>
      <c r="E105" s="56">
        <v>4.5999999999999996</v>
      </c>
      <c r="F105" s="56">
        <f t="shared" si="1"/>
        <v>4.5999999999999996</v>
      </c>
      <c r="G105" s="83"/>
    </row>
    <row r="106" spans="1:7" s="57" customFormat="1">
      <c r="A106" s="181" t="s">
        <v>553</v>
      </c>
      <c r="B106" s="142"/>
      <c r="C106" s="107"/>
      <c r="D106" s="167"/>
      <c r="E106" s="56">
        <v>8.6999999999999993</v>
      </c>
      <c r="F106" s="56">
        <f t="shared" si="1"/>
        <v>8.6999999999999993</v>
      </c>
      <c r="G106" s="83"/>
    </row>
    <row r="107" spans="1:7" s="57" customFormat="1">
      <c r="A107" s="181" t="s">
        <v>554</v>
      </c>
      <c r="B107" s="142"/>
      <c r="C107" s="107"/>
      <c r="D107" s="167"/>
      <c r="E107" s="56">
        <v>13.2</v>
      </c>
      <c r="F107" s="56">
        <f t="shared" si="1"/>
        <v>13.2</v>
      </c>
      <c r="G107" s="83"/>
    </row>
    <row r="108" spans="1:7" s="57" customFormat="1" ht="38.25" customHeight="1">
      <c r="A108" s="181" t="s">
        <v>555</v>
      </c>
      <c r="B108" s="142"/>
      <c r="C108" s="107"/>
      <c r="D108" s="167"/>
      <c r="E108" s="56">
        <v>5.7</v>
      </c>
      <c r="F108" s="56">
        <f t="shared" si="1"/>
        <v>5.7</v>
      </c>
      <c r="G108" s="83"/>
    </row>
    <row r="109" spans="1:7" s="57" customFormat="1">
      <c r="A109" s="181" t="s">
        <v>556</v>
      </c>
      <c r="B109" s="142"/>
      <c r="C109" s="107"/>
      <c r="D109" s="167"/>
      <c r="E109" s="56">
        <v>4.8</v>
      </c>
      <c r="F109" s="56">
        <f t="shared" si="1"/>
        <v>4.8</v>
      </c>
      <c r="G109" s="83"/>
    </row>
    <row r="110" spans="1:7" s="57" customFormat="1" ht="38.25" customHeight="1">
      <c r="A110" s="181" t="s">
        <v>557</v>
      </c>
      <c r="B110" s="142"/>
      <c r="C110" s="107"/>
      <c r="D110" s="167"/>
      <c r="E110" s="56">
        <v>18</v>
      </c>
      <c r="F110" s="56">
        <f t="shared" si="1"/>
        <v>18</v>
      </c>
      <c r="G110" s="83"/>
    </row>
    <row r="111" spans="1:7" s="57" customFormat="1">
      <c r="A111" s="117" t="s">
        <v>582</v>
      </c>
      <c r="B111" s="188"/>
      <c r="C111" s="107"/>
      <c r="D111" s="107"/>
      <c r="E111" s="56">
        <v>2</v>
      </c>
      <c r="F111" s="56">
        <f t="shared" si="1"/>
        <v>2</v>
      </c>
      <c r="G111" s="83"/>
    </row>
    <row r="112" spans="1:7" s="57" customFormat="1">
      <c r="A112" s="117" t="s">
        <v>583</v>
      </c>
      <c r="B112" s="142"/>
      <c r="C112" s="107"/>
      <c r="D112" s="107"/>
      <c r="E112" s="56">
        <v>1.4</v>
      </c>
      <c r="F112" s="56">
        <f t="shared" si="1"/>
        <v>1.4</v>
      </c>
      <c r="G112" s="83"/>
    </row>
    <row r="113" spans="1:7" s="57" customFormat="1">
      <c r="A113" s="117" t="s">
        <v>584</v>
      </c>
      <c r="B113" s="142"/>
      <c r="C113" s="107"/>
      <c r="D113" s="107"/>
      <c r="E113" s="56">
        <v>4.5</v>
      </c>
      <c r="F113" s="56">
        <f t="shared" si="1"/>
        <v>4.5</v>
      </c>
      <c r="G113" s="83"/>
    </row>
    <row r="114" spans="1:7" s="57" customFormat="1">
      <c r="A114" s="117" t="s">
        <v>585</v>
      </c>
      <c r="B114" s="142"/>
      <c r="C114" s="107"/>
      <c r="D114" s="107"/>
      <c r="E114" s="182">
        <v>1.4</v>
      </c>
      <c r="F114" s="56">
        <f t="shared" si="1"/>
        <v>1.4</v>
      </c>
      <c r="G114" s="83"/>
    </row>
    <row r="115" spans="1:7" s="57" customFormat="1">
      <c r="A115" s="117" t="s">
        <v>586</v>
      </c>
      <c r="B115" s="142"/>
      <c r="C115" s="107"/>
      <c r="D115" s="107"/>
      <c r="E115" s="182">
        <v>5</v>
      </c>
      <c r="F115" s="56">
        <f t="shared" si="1"/>
        <v>5</v>
      </c>
      <c r="G115" s="83"/>
    </row>
    <row r="116" spans="1:7" s="57" customFormat="1">
      <c r="A116" s="100" t="s">
        <v>587</v>
      </c>
      <c r="B116" s="142"/>
      <c r="C116" s="107"/>
      <c r="D116" s="107"/>
      <c r="E116" s="182">
        <v>0.5</v>
      </c>
      <c r="F116" s="56">
        <f t="shared" si="1"/>
        <v>0.5</v>
      </c>
      <c r="G116" s="83"/>
    </row>
    <row r="117" spans="1:7" s="57" customFormat="1">
      <c r="A117" s="117" t="s">
        <v>588</v>
      </c>
      <c r="B117" s="142"/>
      <c r="C117" s="107"/>
      <c r="D117" s="107"/>
      <c r="E117" s="182">
        <v>61</v>
      </c>
      <c r="F117" s="56">
        <f t="shared" si="1"/>
        <v>61</v>
      </c>
      <c r="G117" s="83"/>
    </row>
    <row r="118" spans="1:7" s="57" customFormat="1">
      <c r="A118" s="117" t="s">
        <v>589</v>
      </c>
      <c r="B118" s="142"/>
      <c r="C118" s="107"/>
      <c r="D118" s="107"/>
      <c r="E118" s="182">
        <v>84</v>
      </c>
      <c r="F118" s="56">
        <f t="shared" si="1"/>
        <v>84</v>
      </c>
      <c r="G118" s="83"/>
    </row>
    <row r="119" spans="1:7" s="57" customFormat="1">
      <c r="A119" s="117" t="s">
        <v>590</v>
      </c>
      <c r="B119" s="142"/>
      <c r="C119" s="107"/>
      <c r="D119" s="107"/>
      <c r="E119" s="182">
        <v>75</v>
      </c>
      <c r="F119" s="56">
        <f t="shared" si="1"/>
        <v>75</v>
      </c>
      <c r="G119" s="83"/>
    </row>
    <row r="120" spans="1:7" s="57" customFormat="1">
      <c r="A120" s="117" t="s">
        <v>591</v>
      </c>
      <c r="B120" s="142"/>
      <c r="C120" s="107"/>
      <c r="D120" s="107"/>
      <c r="E120" s="182">
        <v>2.2999999999999998</v>
      </c>
      <c r="F120" s="56">
        <f t="shared" si="1"/>
        <v>2.2999999999999998</v>
      </c>
      <c r="G120" s="83"/>
    </row>
    <row r="121" spans="1:7" s="57" customFormat="1">
      <c r="A121" s="117" t="s">
        <v>592</v>
      </c>
      <c r="B121" s="142"/>
      <c r="C121" s="107"/>
      <c r="D121" s="107"/>
      <c r="E121" s="182">
        <v>22.8</v>
      </c>
      <c r="F121" s="56">
        <f t="shared" si="1"/>
        <v>22.8</v>
      </c>
      <c r="G121" s="83"/>
    </row>
    <row r="122" spans="1:7" s="57" customFormat="1">
      <c r="A122" s="117" t="s">
        <v>593</v>
      </c>
      <c r="B122" s="142"/>
      <c r="C122" s="107"/>
      <c r="D122" s="107"/>
      <c r="E122" s="182">
        <v>21.5</v>
      </c>
      <c r="F122" s="56">
        <f t="shared" si="1"/>
        <v>21.5</v>
      </c>
      <c r="G122" s="83"/>
    </row>
    <row r="123" spans="1:7" s="57" customFormat="1">
      <c r="A123" s="117" t="s">
        <v>594</v>
      </c>
      <c r="B123" s="142"/>
      <c r="C123" s="107"/>
      <c r="D123" s="107"/>
      <c r="E123" s="182">
        <v>2</v>
      </c>
      <c r="F123" s="56">
        <f t="shared" si="1"/>
        <v>2</v>
      </c>
      <c r="G123" s="83"/>
    </row>
    <row r="124" spans="1:7" s="57" customFormat="1">
      <c r="A124" s="117" t="s">
        <v>595</v>
      </c>
      <c r="B124" s="142"/>
      <c r="C124" s="107"/>
      <c r="D124" s="107"/>
      <c r="E124" s="56">
        <v>6.4</v>
      </c>
      <c r="F124" s="56">
        <f t="shared" si="1"/>
        <v>6.4</v>
      </c>
      <c r="G124" s="83"/>
    </row>
    <row r="125" spans="1:7" s="57" customFormat="1">
      <c r="A125" s="117" t="s">
        <v>596</v>
      </c>
      <c r="B125" s="142"/>
      <c r="C125" s="107"/>
      <c r="D125" s="107"/>
      <c r="E125" s="56">
        <v>1.5</v>
      </c>
      <c r="F125" s="56">
        <f t="shared" si="1"/>
        <v>1.5</v>
      </c>
      <c r="G125" s="83"/>
    </row>
    <row r="126" spans="1:7" s="57" customFormat="1">
      <c r="A126" s="117" t="s">
        <v>597</v>
      </c>
      <c r="B126" s="142"/>
      <c r="C126" s="107"/>
      <c r="D126" s="107"/>
      <c r="E126" s="56">
        <v>5.9</v>
      </c>
      <c r="F126" s="56">
        <f t="shared" si="1"/>
        <v>5.9</v>
      </c>
      <c r="G126" s="83"/>
    </row>
    <row r="127" spans="1:7" s="57" customFormat="1">
      <c r="A127" s="117" t="s">
        <v>598</v>
      </c>
      <c r="B127" s="142"/>
      <c r="C127" s="107"/>
      <c r="D127" s="107"/>
      <c r="E127" s="56">
        <v>4.5999999999999996</v>
      </c>
      <c r="F127" s="56">
        <f t="shared" si="1"/>
        <v>4.5999999999999996</v>
      </c>
      <c r="G127" s="83"/>
    </row>
    <row r="128" spans="1:7" s="57" customFormat="1">
      <c r="A128" s="117" t="s">
        <v>599</v>
      </c>
      <c r="B128" s="142"/>
      <c r="C128" s="107"/>
      <c r="D128" s="107"/>
      <c r="E128" s="56">
        <v>14.6</v>
      </c>
      <c r="F128" s="56">
        <f t="shared" si="1"/>
        <v>14.6</v>
      </c>
      <c r="G128" s="83"/>
    </row>
    <row r="129" spans="1:7" s="57" customFormat="1">
      <c r="A129" s="117" t="s">
        <v>600</v>
      </c>
      <c r="B129" s="142"/>
      <c r="C129" s="107"/>
      <c r="D129" s="107"/>
      <c r="E129" s="56">
        <v>2.2999999999999998</v>
      </c>
      <c r="F129" s="56">
        <f t="shared" si="1"/>
        <v>2.2999999999999998</v>
      </c>
      <c r="G129" s="83"/>
    </row>
    <row r="130" spans="1:7" s="57" customFormat="1">
      <c r="A130" s="117" t="s">
        <v>601</v>
      </c>
      <c r="B130" s="142"/>
      <c r="C130" s="107"/>
      <c r="D130" s="107"/>
      <c r="E130" s="56">
        <v>0.9</v>
      </c>
      <c r="F130" s="56">
        <f t="shared" si="1"/>
        <v>0.9</v>
      </c>
      <c r="G130" s="83"/>
    </row>
    <row r="131" spans="1:7" s="57" customFormat="1">
      <c r="A131" s="117" t="s">
        <v>602</v>
      </c>
      <c r="B131" s="142"/>
      <c r="C131" s="107"/>
      <c r="D131" s="107"/>
      <c r="E131" s="56">
        <v>1</v>
      </c>
      <c r="F131" s="56">
        <f t="shared" si="1"/>
        <v>1</v>
      </c>
      <c r="G131" s="83"/>
    </row>
    <row r="132" spans="1:7" s="57" customFormat="1">
      <c r="A132" s="117" t="s">
        <v>603</v>
      </c>
      <c r="B132" s="142"/>
      <c r="C132" s="107"/>
      <c r="D132" s="107"/>
      <c r="E132" s="56">
        <v>2</v>
      </c>
      <c r="F132" s="56">
        <f t="shared" si="1"/>
        <v>2</v>
      </c>
      <c r="G132" s="83"/>
    </row>
    <row r="133" spans="1:7" s="57" customFormat="1">
      <c r="A133" s="117" t="s">
        <v>604</v>
      </c>
      <c r="B133" s="142"/>
      <c r="C133" s="107"/>
      <c r="D133" s="107"/>
      <c r="E133" s="56">
        <v>2.8</v>
      </c>
      <c r="F133" s="56">
        <f t="shared" si="1"/>
        <v>2.8</v>
      </c>
      <c r="G133" s="83"/>
    </row>
    <row r="134" spans="1:7" s="57" customFormat="1">
      <c r="A134" s="117" t="s">
        <v>605</v>
      </c>
      <c r="B134" s="142"/>
      <c r="C134" s="107"/>
      <c r="D134" s="107"/>
      <c r="E134" s="56">
        <v>11.6</v>
      </c>
      <c r="F134" s="56">
        <f t="shared" si="1"/>
        <v>11.6</v>
      </c>
      <c r="G134" s="83"/>
    </row>
    <row r="135" spans="1:7" s="57" customFormat="1">
      <c r="A135" s="117" t="s">
        <v>606</v>
      </c>
      <c r="B135" s="142"/>
      <c r="C135" s="107"/>
      <c r="D135" s="107"/>
      <c r="E135" s="56">
        <v>4.7</v>
      </c>
      <c r="F135" s="56">
        <f t="shared" si="1"/>
        <v>4.7</v>
      </c>
      <c r="G135" s="83"/>
    </row>
    <row r="136" spans="1:7" s="57" customFormat="1">
      <c r="A136" s="117" t="s">
        <v>607</v>
      </c>
      <c r="B136" s="142"/>
      <c r="C136" s="107"/>
      <c r="D136" s="107"/>
      <c r="E136" s="56">
        <v>8</v>
      </c>
      <c r="F136" s="56">
        <f t="shared" si="1"/>
        <v>8</v>
      </c>
      <c r="G136" s="83"/>
    </row>
    <row r="137" spans="1:7" s="57" customFormat="1">
      <c r="A137" s="117" t="s">
        <v>608</v>
      </c>
      <c r="B137" s="142"/>
      <c r="C137" s="107"/>
      <c r="D137" s="107"/>
      <c r="E137" s="56">
        <v>3.5</v>
      </c>
      <c r="F137" s="56">
        <f t="shared" si="1"/>
        <v>3.5</v>
      </c>
      <c r="G137" s="83"/>
    </row>
    <row r="138" spans="1:7" s="57" customFormat="1">
      <c r="A138" s="117" t="s">
        <v>609</v>
      </c>
      <c r="B138" s="142"/>
      <c r="C138" s="107"/>
      <c r="D138" s="107"/>
      <c r="E138" s="56">
        <v>14.3</v>
      </c>
      <c r="F138" s="56">
        <f t="shared" si="1"/>
        <v>14.3</v>
      </c>
      <c r="G138" s="83"/>
    </row>
    <row r="139" spans="1:7" s="57" customFormat="1">
      <c r="A139" s="117" t="s">
        <v>610</v>
      </c>
      <c r="B139" s="142"/>
      <c r="C139" s="107"/>
      <c r="D139" s="107"/>
      <c r="E139" s="56">
        <v>6.8</v>
      </c>
      <c r="F139" s="56">
        <f t="shared" si="1"/>
        <v>6.8</v>
      </c>
      <c r="G139" s="83"/>
    </row>
    <row r="140" spans="1:7" s="57" customFormat="1">
      <c r="A140" s="117" t="s">
        <v>611</v>
      </c>
      <c r="B140" s="142"/>
      <c r="C140" s="107"/>
      <c r="D140" s="107"/>
      <c r="E140" s="56">
        <v>16.8</v>
      </c>
      <c r="F140" s="56">
        <f t="shared" si="1"/>
        <v>16.8</v>
      </c>
      <c r="G140" s="83"/>
    </row>
    <row r="141" spans="1:7" s="57" customFormat="1">
      <c r="A141" s="117" t="s">
        <v>612</v>
      </c>
      <c r="B141" s="142"/>
      <c r="C141" s="107"/>
      <c r="D141" s="107"/>
      <c r="E141" s="56">
        <v>4.5999999999999996</v>
      </c>
      <c r="F141" s="56">
        <f t="shared" si="1"/>
        <v>4.5999999999999996</v>
      </c>
      <c r="G141" s="83"/>
    </row>
    <row r="142" spans="1:7" s="57" customFormat="1">
      <c r="A142" s="181" t="s">
        <v>613</v>
      </c>
      <c r="B142" s="142"/>
      <c r="C142" s="107"/>
      <c r="D142" s="167"/>
      <c r="E142" s="56">
        <v>4</v>
      </c>
      <c r="F142" s="56">
        <f t="shared" si="1"/>
        <v>4</v>
      </c>
      <c r="G142" s="83"/>
    </row>
    <row r="143" spans="1:7" s="57" customFormat="1">
      <c r="A143" s="181" t="s">
        <v>614</v>
      </c>
      <c r="B143" s="142"/>
      <c r="C143" s="107"/>
      <c r="D143" s="167"/>
      <c r="E143" s="56">
        <v>2.1</v>
      </c>
      <c r="F143" s="56">
        <f t="shared" si="1"/>
        <v>2.1</v>
      </c>
      <c r="G143" s="83"/>
    </row>
    <row r="144" spans="1:7" s="57" customFormat="1">
      <c r="A144" s="181" t="s">
        <v>615</v>
      </c>
      <c r="B144" s="142"/>
      <c r="C144" s="107"/>
      <c r="D144" s="167"/>
      <c r="E144" s="56">
        <v>2.5</v>
      </c>
      <c r="F144" s="56">
        <f t="shared" si="1"/>
        <v>2.5</v>
      </c>
      <c r="G144" s="83"/>
    </row>
    <row r="145" spans="1:7" s="57" customFormat="1">
      <c r="A145" s="181" t="s">
        <v>616</v>
      </c>
      <c r="B145" s="142"/>
      <c r="C145" s="107"/>
      <c r="D145" s="167"/>
      <c r="E145" s="56">
        <v>5.9</v>
      </c>
      <c r="F145" s="56">
        <f t="shared" si="1"/>
        <v>5.9</v>
      </c>
      <c r="G145" s="83"/>
    </row>
    <row r="146" spans="1:7" s="57" customFormat="1">
      <c r="A146" s="181" t="s">
        <v>617</v>
      </c>
      <c r="B146" s="142"/>
      <c r="C146" s="107"/>
      <c r="D146" s="167"/>
      <c r="E146" s="56">
        <v>2.2999999999999998</v>
      </c>
      <c r="F146" s="56">
        <f t="shared" si="1"/>
        <v>2.2999999999999998</v>
      </c>
      <c r="G146" s="83"/>
    </row>
    <row r="147" spans="1:7" s="57" customFormat="1">
      <c r="A147" s="181" t="s">
        <v>618</v>
      </c>
      <c r="B147" s="142"/>
      <c r="C147" s="107"/>
      <c r="D147" s="167"/>
      <c r="E147" s="56">
        <v>4.3</v>
      </c>
      <c r="F147" s="56">
        <f t="shared" si="1"/>
        <v>4.3</v>
      </c>
      <c r="G147" s="83"/>
    </row>
    <row r="148" spans="1:7" s="57" customFormat="1">
      <c r="A148" s="181" t="s">
        <v>619</v>
      </c>
      <c r="B148" s="142"/>
      <c r="C148" s="107"/>
      <c r="D148" s="167"/>
      <c r="E148" s="56">
        <v>9.9</v>
      </c>
      <c r="F148" s="56">
        <f t="shared" si="1"/>
        <v>9.9</v>
      </c>
      <c r="G148" s="83"/>
    </row>
    <row r="149" spans="1:7" s="57" customFormat="1" ht="56.25" customHeight="1">
      <c r="A149" s="270" t="s">
        <v>629</v>
      </c>
      <c r="B149" s="268">
        <v>4050</v>
      </c>
      <c r="C149" s="159">
        <f>C150+C151+C152</f>
        <v>3037.1</v>
      </c>
      <c r="D149" s="159">
        <f t="shared" ref="D149:E149" si="4">D150+D151+D152</f>
        <v>1987.5</v>
      </c>
      <c r="E149" s="159">
        <f t="shared" si="4"/>
        <v>9920.1</v>
      </c>
      <c r="F149" s="159">
        <f t="shared" si="1"/>
        <v>7932.6</v>
      </c>
      <c r="G149" s="267">
        <f>E149/D149*100</f>
        <v>499.12452830188681</v>
      </c>
    </row>
    <row r="150" spans="1:7" s="57" customFormat="1" ht="79.5" customHeight="1">
      <c r="A150" s="183" t="s">
        <v>558</v>
      </c>
      <c r="B150" s="178"/>
      <c r="C150" s="105"/>
      <c r="D150" s="117">
        <v>1987.5</v>
      </c>
      <c r="E150" s="117">
        <v>2563.8000000000002</v>
      </c>
      <c r="F150" s="56">
        <f t="shared" si="1"/>
        <v>576.30000000000018</v>
      </c>
      <c r="G150" s="81">
        <f>E150/D150*100</f>
        <v>128.99622641509433</v>
      </c>
    </row>
    <row r="151" spans="1:7" s="57" customFormat="1" ht="44.25" customHeight="1">
      <c r="A151" s="117" t="s">
        <v>559</v>
      </c>
      <c r="B151" s="109"/>
      <c r="C151" s="191">
        <v>3037.1</v>
      </c>
      <c r="D151" s="109"/>
      <c r="E151" s="109"/>
      <c r="F151" s="82"/>
      <c r="G151" s="83"/>
    </row>
    <row r="152" spans="1:7" ht="25.5" customHeight="1">
      <c r="A152" s="117" t="s">
        <v>620</v>
      </c>
      <c r="B152" s="109"/>
      <c r="C152" s="192"/>
      <c r="D152" s="109"/>
      <c r="E152" s="193">
        <v>7356.3</v>
      </c>
      <c r="F152" s="56">
        <f t="shared" si="1"/>
        <v>7356.3</v>
      </c>
      <c r="G152" s="81"/>
    </row>
    <row r="153" spans="1:7" ht="27.75" customHeight="1">
      <c r="A153" s="269" t="s">
        <v>630</v>
      </c>
      <c r="B153" s="266">
        <v>4060</v>
      </c>
      <c r="C153" s="159">
        <f>C154+C155+C156</f>
        <v>41.4</v>
      </c>
      <c r="D153" s="159">
        <f t="shared" ref="D153" si="5">D154+D155+D156</f>
        <v>0</v>
      </c>
      <c r="E153" s="159">
        <f>E154+E155+E156</f>
        <v>1113.502</v>
      </c>
      <c r="F153" s="159">
        <f t="shared" si="1"/>
        <v>1113.502</v>
      </c>
      <c r="G153" s="267"/>
    </row>
    <row r="154" spans="1:7" ht="45.75" customHeight="1">
      <c r="A154" s="100" t="s">
        <v>621</v>
      </c>
      <c r="B154" s="101"/>
      <c r="C154" s="109"/>
      <c r="D154" s="107"/>
      <c r="E154" s="110">
        <v>887.5</v>
      </c>
      <c r="F154" s="56">
        <f t="shared" si="1"/>
        <v>887.5</v>
      </c>
      <c r="G154" s="81"/>
    </row>
    <row r="155" spans="1:7" ht="57" customHeight="1">
      <c r="A155" s="185" t="s">
        <v>561</v>
      </c>
      <c r="B155" s="194"/>
      <c r="C155" s="124"/>
      <c r="D155" s="124"/>
      <c r="E155" s="107">
        <v>226.00200000000001</v>
      </c>
      <c r="F155" s="56">
        <f t="shared" si="1"/>
        <v>226.00200000000001</v>
      </c>
      <c r="G155" s="81"/>
    </row>
    <row r="156" spans="1:7" ht="22.5" customHeight="1">
      <c r="A156" s="110" t="s">
        <v>562</v>
      </c>
      <c r="B156" s="101"/>
      <c r="C156" s="191">
        <v>41.4</v>
      </c>
      <c r="D156" s="145"/>
      <c r="E156" s="145"/>
      <c r="F156" s="56"/>
      <c r="G156" s="81">
        <f t="shared" ref="G156" si="6">(E156-D156)*100</f>
        <v>0</v>
      </c>
    </row>
    <row r="157" spans="1:7" ht="27" customHeight="1">
      <c r="A157" s="84"/>
      <c r="B157" s="85"/>
      <c r="C157" s="78"/>
      <c r="D157" s="78"/>
      <c r="E157" s="78"/>
      <c r="F157" s="78"/>
      <c r="G157" s="86"/>
    </row>
    <row r="158" spans="1:7" ht="26.25" customHeight="1">
      <c r="A158" s="63" t="s">
        <v>138</v>
      </c>
      <c r="B158" s="64"/>
      <c r="C158" s="370" t="s">
        <v>20</v>
      </c>
      <c r="D158" s="370"/>
      <c r="E158" s="91"/>
      <c r="F158" s="375" t="s">
        <v>627</v>
      </c>
      <c r="G158" s="375"/>
    </row>
    <row r="159" spans="1:7">
      <c r="A159" s="92" t="s">
        <v>97</v>
      </c>
      <c r="B159" s="67"/>
      <c r="C159" s="359" t="s">
        <v>111</v>
      </c>
      <c r="D159" s="359"/>
      <c r="E159" s="90"/>
      <c r="F159" s="353" t="s">
        <v>21</v>
      </c>
      <c r="G159" s="353"/>
    </row>
    <row r="160" spans="1:7">
      <c r="A160" s="59"/>
      <c r="B160" s="60"/>
      <c r="C160" s="61"/>
      <c r="D160" s="62"/>
      <c r="E160" s="62"/>
      <c r="F160" s="62"/>
    </row>
    <row r="161" spans="1:6">
      <c r="A161" s="59"/>
      <c r="B161" s="60"/>
      <c r="C161" s="61"/>
      <c r="D161" s="62"/>
      <c r="E161" s="62"/>
      <c r="F161" s="62"/>
    </row>
    <row r="162" spans="1:6">
      <c r="A162" s="59"/>
      <c r="B162" s="60"/>
      <c r="C162" s="61"/>
      <c r="D162" s="62"/>
      <c r="E162" s="62"/>
      <c r="F162" s="62"/>
    </row>
    <row r="163" spans="1:6">
      <c r="A163" s="59"/>
      <c r="B163" s="60"/>
      <c r="C163" s="61"/>
      <c r="D163" s="62"/>
      <c r="E163" s="62"/>
      <c r="F163" s="62"/>
    </row>
    <row r="164" spans="1:6">
      <c r="A164" s="59"/>
      <c r="B164" s="60"/>
      <c r="C164" s="61"/>
      <c r="D164" s="62"/>
      <c r="E164" s="62"/>
      <c r="F164" s="62"/>
    </row>
    <row r="165" spans="1:6">
      <c r="A165" s="59"/>
      <c r="B165" s="60"/>
      <c r="C165" s="61"/>
      <c r="D165" s="62"/>
      <c r="E165" s="62"/>
      <c r="F165" s="62"/>
    </row>
    <row r="166" spans="1:6">
      <c r="A166" s="59"/>
      <c r="B166" s="60"/>
      <c r="C166" s="61"/>
      <c r="D166" s="62"/>
      <c r="E166" s="62"/>
      <c r="F166" s="62"/>
    </row>
    <row r="167" spans="1:6">
      <c r="A167" s="59"/>
      <c r="B167" s="60"/>
      <c r="C167" s="61"/>
      <c r="D167" s="62"/>
      <c r="E167" s="62"/>
      <c r="F167" s="62"/>
    </row>
    <row r="168" spans="1:6">
      <c r="A168" s="59"/>
      <c r="B168" s="60"/>
      <c r="C168" s="61"/>
      <c r="D168" s="62"/>
      <c r="E168" s="62"/>
      <c r="F168" s="62"/>
    </row>
    <row r="169" spans="1:6">
      <c r="A169" s="59"/>
      <c r="B169" s="60"/>
      <c r="C169" s="61"/>
      <c r="D169" s="62"/>
      <c r="E169" s="62"/>
      <c r="F169" s="62"/>
    </row>
    <row r="170" spans="1:6">
      <c r="A170" s="59"/>
      <c r="B170" s="60"/>
      <c r="C170" s="61"/>
      <c r="D170" s="62"/>
      <c r="E170" s="62"/>
      <c r="F170" s="62"/>
    </row>
    <row r="171" spans="1:6">
      <c r="A171" s="59"/>
      <c r="B171" s="60"/>
      <c r="C171" s="61"/>
      <c r="D171" s="62"/>
      <c r="E171" s="62"/>
      <c r="F171" s="62"/>
    </row>
    <row r="172" spans="1:6">
      <c r="A172" s="59"/>
      <c r="B172" s="60"/>
      <c r="C172" s="61"/>
      <c r="D172" s="62"/>
      <c r="E172" s="62"/>
      <c r="F172" s="62"/>
    </row>
    <row r="173" spans="1:6">
      <c r="A173" s="59"/>
      <c r="B173" s="60"/>
      <c r="C173" s="61"/>
      <c r="D173" s="62"/>
      <c r="E173" s="62"/>
      <c r="F173" s="62"/>
    </row>
    <row r="174" spans="1:6">
      <c r="A174" s="59"/>
      <c r="B174" s="60"/>
      <c r="C174" s="61"/>
      <c r="D174" s="62"/>
      <c r="E174" s="62"/>
      <c r="F174" s="62"/>
    </row>
    <row r="175" spans="1:6">
      <c r="A175" s="59"/>
      <c r="B175" s="60"/>
      <c r="C175" s="61"/>
      <c r="D175" s="62"/>
      <c r="E175" s="62"/>
      <c r="F175" s="62"/>
    </row>
    <row r="176" spans="1:6">
      <c r="A176" s="59"/>
      <c r="B176" s="60"/>
      <c r="C176" s="61"/>
      <c r="D176" s="62"/>
      <c r="E176" s="62"/>
      <c r="F176" s="62"/>
    </row>
    <row r="177" spans="1:6">
      <c r="A177" s="59"/>
      <c r="B177" s="60"/>
      <c r="C177" s="61"/>
      <c r="D177" s="62"/>
      <c r="E177" s="62"/>
      <c r="F177" s="62"/>
    </row>
    <row r="178" spans="1:6">
      <c r="A178" s="59"/>
      <c r="B178" s="60"/>
      <c r="C178" s="61"/>
      <c r="D178" s="62"/>
      <c r="E178" s="62"/>
      <c r="F178" s="62"/>
    </row>
    <row r="179" spans="1:6">
      <c r="A179" s="59"/>
      <c r="B179" s="60"/>
      <c r="C179" s="61"/>
      <c r="D179" s="62"/>
      <c r="E179" s="62"/>
      <c r="F179" s="62"/>
    </row>
    <row r="180" spans="1:6">
      <c r="A180" s="59"/>
      <c r="B180" s="60"/>
      <c r="C180" s="61"/>
      <c r="D180" s="62"/>
      <c r="E180" s="62"/>
      <c r="F180" s="62"/>
    </row>
    <row r="181" spans="1:6">
      <c r="A181" s="59"/>
      <c r="B181" s="60"/>
      <c r="C181" s="61"/>
      <c r="D181" s="62"/>
      <c r="E181" s="62"/>
      <c r="F181" s="62"/>
    </row>
    <row r="182" spans="1:6">
      <c r="A182" s="59"/>
      <c r="B182" s="60"/>
      <c r="C182" s="61"/>
      <c r="D182" s="62"/>
      <c r="E182" s="62"/>
      <c r="F182" s="62"/>
    </row>
    <row r="183" spans="1:6">
      <c r="A183" s="59"/>
      <c r="B183" s="60"/>
      <c r="C183" s="61"/>
      <c r="D183" s="62"/>
      <c r="E183" s="62"/>
      <c r="F183" s="62"/>
    </row>
    <row r="184" spans="1:6">
      <c r="A184" s="59"/>
      <c r="B184" s="60"/>
      <c r="C184" s="61"/>
      <c r="D184" s="62"/>
      <c r="E184" s="62"/>
      <c r="F184" s="62"/>
    </row>
    <row r="185" spans="1:6">
      <c r="A185" s="59"/>
      <c r="B185" s="60"/>
      <c r="C185" s="61"/>
      <c r="D185" s="62"/>
      <c r="E185" s="62"/>
      <c r="F185" s="62"/>
    </row>
    <row r="186" spans="1:6">
      <c r="A186" s="59"/>
      <c r="B186" s="60"/>
      <c r="C186" s="61"/>
      <c r="D186" s="62"/>
      <c r="E186" s="62"/>
      <c r="F186" s="62"/>
    </row>
    <row r="187" spans="1:6">
      <c r="A187" s="59"/>
      <c r="B187" s="60"/>
      <c r="C187" s="61"/>
      <c r="D187" s="62"/>
      <c r="E187" s="62"/>
      <c r="F187" s="62"/>
    </row>
    <row r="188" spans="1:6">
      <c r="A188" s="59"/>
      <c r="B188" s="60"/>
      <c r="C188" s="61"/>
      <c r="D188" s="62"/>
      <c r="E188" s="62"/>
      <c r="F188" s="62"/>
    </row>
    <row r="189" spans="1:6">
      <c r="A189" s="59"/>
      <c r="B189" s="60"/>
      <c r="C189" s="61"/>
      <c r="D189" s="62"/>
      <c r="E189" s="62"/>
      <c r="F189" s="62"/>
    </row>
    <row r="190" spans="1:6">
      <c r="A190" s="59"/>
      <c r="B190" s="60"/>
      <c r="C190" s="61"/>
      <c r="D190" s="62"/>
      <c r="E190" s="62"/>
      <c r="F190" s="62"/>
    </row>
    <row r="191" spans="1:6">
      <c r="A191" s="59"/>
      <c r="C191" s="70"/>
      <c r="D191" s="71"/>
      <c r="E191" s="71"/>
      <c r="F191" s="71"/>
    </row>
    <row r="192" spans="1:6">
      <c r="A192" s="72"/>
      <c r="C192" s="70"/>
      <c r="D192" s="71"/>
      <c r="E192" s="71"/>
      <c r="F192" s="71"/>
    </row>
    <row r="193" spans="1:6">
      <c r="A193" s="72"/>
      <c r="C193" s="70"/>
      <c r="D193" s="71"/>
      <c r="E193" s="71"/>
      <c r="F193" s="71"/>
    </row>
    <row r="194" spans="1:6">
      <c r="A194" s="72"/>
      <c r="C194" s="70"/>
      <c r="D194" s="71"/>
      <c r="E194" s="71"/>
      <c r="F194" s="71"/>
    </row>
    <row r="195" spans="1:6">
      <c r="A195" s="72"/>
      <c r="C195" s="70"/>
      <c r="D195" s="71"/>
      <c r="E195" s="71"/>
      <c r="F195" s="71"/>
    </row>
    <row r="196" spans="1:6">
      <c r="A196" s="72"/>
      <c r="C196" s="70"/>
      <c r="D196" s="71"/>
      <c r="E196" s="71"/>
      <c r="F196" s="71"/>
    </row>
    <row r="197" spans="1:6">
      <c r="A197" s="72"/>
      <c r="C197" s="70"/>
      <c r="D197" s="71"/>
      <c r="E197" s="71"/>
      <c r="F197" s="71"/>
    </row>
    <row r="198" spans="1:6">
      <c r="A198" s="72"/>
      <c r="C198" s="70"/>
      <c r="D198" s="71"/>
      <c r="E198" s="71"/>
      <c r="F198" s="71"/>
    </row>
    <row r="199" spans="1:6">
      <c r="A199" s="72"/>
      <c r="C199" s="70"/>
      <c r="D199" s="71"/>
      <c r="E199" s="71"/>
      <c r="F199" s="71"/>
    </row>
    <row r="200" spans="1:6">
      <c r="A200" s="72"/>
      <c r="C200" s="70"/>
      <c r="D200" s="71"/>
      <c r="E200" s="71"/>
      <c r="F200" s="71"/>
    </row>
    <row r="201" spans="1:6">
      <c r="A201" s="72"/>
      <c r="C201" s="70"/>
      <c r="D201" s="71"/>
      <c r="E201" s="71"/>
      <c r="F201" s="71"/>
    </row>
    <row r="202" spans="1:6">
      <c r="A202" s="72"/>
      <c r="C202" s="70"/>
      <c r="D202" s="71"/>
      <c r="E202" s="71"/>
      <c r="F202" s="71"/>
    </row>
    <row r="203" spans="1:6">
      <c r="A203" s="72"/>
      <c r="C203" s="70"/>
      <c r="D203" s="71"/>
      <c r="E203" s="71"/>
      <c r="F203" s="71"/>
    </row>
    <row r="204" spans="1:6">
      <c r="A204" s="72"/>
      <c r="C204" s="70"/>
      <c r="D204" s="71"/>
      <c r="E204" s="71"/>
      <c r="F204" s="71"/>
    </row>
    <row r="205" spans="1:6">
      <c r="A205" s="72"/>
      <c r="C205" s="70"/>
      <c r="D205" s="71"/>
      <c r="E205" s="71"/>
      <c r="F205" s="71"/>
    </row>
    <row r="206" spans="1:6">
      <c r="A206" s="72"/>
      <c r="C206" s="70"/>
      <c r="D206" s="71"/>
      <c r="E206" s="71"/>
      <c r="F206" s="71"/>
    </row>
    <row r="207" spans="1:6">
      <c r="A207" s="72"/>
      <c r="C207" s="70"/>
      <c r="D207" s="71"/>
      <c r="E207" s="71"/>
      <c r="F207" s="71"/>
    </row>
    <row r="208" spans="1:6">
      <c r="A208" s="72"/>
      <c r="C208" s="70"/>
      <c r="D208" s="71"/>
      <c r="E208" s="71"/>
      <c r="F208" s="71"/>
    </row>
    <row r="209" spans="1:6">
      <c r="A209" s="72"/>
      <c r="C209" s="70"/>
      <c r="D209" s="71"/>
      <c r="E209" s="71"/>
      <c r="F209" s="71"/>
    </row>
    <row r="210" spans="1:6">
      <c r="A210" s="72"/>
      <c r="C210" s="70"/>
      <c r="D210" s="71"/>
      <c r="E210" s="71"/>
      <c r="F210" s="71"/>
    </row>
    <row r="211" spans="1:6">
      <c r="A211" s="72"/>
      <c r="C211" s="70"/>
      <c r="D211" s="71"/>
      <c r="E211" s="71"/>
      <c r="F211" s="71"/>
    </row>
    <row r="212" spans="1:6">
      <c r="A212" s="72"/>
      <c r="C212" s="70"/>
      <c r="D212" s="71"/>
      <c r="E212" s="71"/>
      <c r="F212" s="71"/>
    </row>
    <row r="213" spans="1:6">
      <c r="A213" s="72"/>
      <c r="C213" s="70"/>
      <c r="D213" s="71"/>
      <c r="E213" s="71"/>
      <c r="F213" s="71"/>
    </row>
    <row r="214" spans="1:6">
      <c r="A214" s="72"/>
    </row>
    <row r="215" spans="1:6">
      <c r="A215" s="73"/>
    </row>
    <row r="216" spans="1:6">
      <c r="A216" s="73"/>
    </row>
    <row r="217" spans="1:6">
      <c r="A217" s="73"/>
    </row>
    <row r="218" spans="1:6">
      <c r="A218" s="73"/>
    </row>
    <row r="219" spans="1:6">
      <c r="A219" s="73"/>
    </row>
    <row r="220" spans="1:6">
      <c r="A220" s="73"/>
    </row>
    <row r="221" spans="1:6">
      <c r="A221" s="73"/>
    </row>
    <row r="222" spans="1:6">
      <c r="A222" s="73"/>
    </row>
    <row r="223" spans="1:6">
      <c r="A223" s="73"/>
    </row>
    <row r="224" spans="1:6">
      <c r="A224" s="73"/>
    </row>
    <row r="225" spans="1:1">
      <c r="A225" s="73"/>
    </row>
    <row r="226" spans="1:1">
      <c r="A226" s="73"/>
    </row>
    <row r="227" spans="1:1">
      <c r="A227" s="73"/>
    </row>
    <row r="228" spans="1:1">
      <c r="A228" s="73"/>
    </row>
    <row r="229" spans="1:1">
      <c r="A229" s="73"/>
    </row>
    <row r="230" spans="1:1">
      <c r="A230" s="73"/>
    </row>
    <row r="231" spans="1:1">
      <c r="A231" s="73"/>
    </row>
    <row r="232" spans="1:1">
      <c r="A232" s="73"/>
    </row>
    <row r="233" spans="1:1">
      <c r="A233" s="73"/>
    </row>
    <row r="234" spans="1:1">
      <c r="A234" s="73"/>
    </row>
    <row r="235" spans="1:1">
      <c r="A235" s="73"/>
    </row>
    <row r="236" spans="1:1">
      <c r="A236" s="73"/>
    </row>
    <row r="237" spans="1:1">
      <c r="A237" s="73"/>
    </row>
    <row r="238" spans="1:1">
      <c r="A238" s="73"/>
    </row>
    <row r="239" spans="1:1">
      <c r="A239" s="73"/>
    </row>
    <row r="240" spans="1:1">
      <c r="A240" s="73"/>
    </row>
    <row r="241" spans="1:1">
      <c r="A241" s="73"/>
    </row>
    <row r="242" spans="1:1">
      <c r="A242" s="73"/>
    </row>
    <row r="243" spans="1:1">
      <c r="A243" s="73"/>
    </row>
    <row r="244" spans="1:1">
      <c r="A244" s="73"/>
    </row>
    <row r="245" spans="1:1">
      <c r="A245" s="73"/>
    </row>
    <row r="246" spans="1:1">
      <c r="A246" s="73"/>
    </row>
    <row r="247" spans="1:1">
      <c r="A247" s="73"/>
    </row>
    <row r="248" spans="1:1">
      <c r="A248" s="73"/>
    </row>
    <row r="249" spans="1:1">
      <c r="A249" s="73"/>
    </row>
    <row r="250" spans="1:1">
      <c r="A250" s="73"/>
    </row>
    <row r="251" spans="1:1">
      <c r="A251" s="73"/>
    </row>
    <row r="252" spans="1:1">
      <c r="A252" s="73"/>
    </row>
    <row r="253" spans="1:1">
      <c r="A253" s="73"/>
    </row>
    <row r="254" spans="1:1">
      <c r="A254" s="73"/>
    </row>
    <row r="255" spans="1:1">
      <c r="A255" s="73"/>
    </row>
    <row r="256" spans="1:1">
      <c r="A256" s="73"/>
    </row>
    <row r="257" spans="1:1">
      <c r="A257" s="73"/>
    </row>
    <row r="258" spans="1:1">
      <c r="A258" s="73"/>
    </row>
    <row r="259" spans="1:1">
      <c r="A259" s="73"/>
    </row>
    <row r="260" spans="1:1">
      <c r="A260" s="73"/>
    </row>
    <row r="261" spans="1:1">
      <c r="A261" s="73"/>
    </row>
    <row r="262" spans="1:1">
      <c r="A262" s="73"/>
    </row>
    <row r="263" spans="1:1">
      <c r="A263" s="73"/>
    </row>
    <row r="264" spans="1:1">
      <c r="A264" s="73"/>
    </row>
    <row r="265" spans="1:1">
      <c r="A265" s="73"/>
    </row>
    <row r="266" spans="1:1">
      <c r="A266" s="73"/>
    </row>
    <row r="267" spans="1:1">
      <c r="A267" s="73"/>
    </row>
    <row r="268" spans="1:1">
      <c r="A268" s="73"/>
    </row>
    <row r="269" spans="1:1">
      <c r="A269" s="73"/>
    </row>
    <row r="270" spans="1:1">
      <c r="A270" s="73"/>
    </row>
    <row r="271" spans="1:1">
      <c r="A271" s="73"/>
    </row>
    <row r="272" spans="1:1">
      <c r="A272" s="73"/>
    </row>
    <row r="273" spans="1:1">
      <c r="A273" s="73"/>
    </row>
    <row r="274" spans="1:1">
      <c r="A274" s="73"/>
    </row>
    <row r="275" spans="1:1">
      <c r="A275" s="73"/>
    </row>
    <row r="276" spans="1:1">
      <c r="A276" s="73"/>
    </row>
    <row r="277" spans="1:1">
      <c r="A277" s="73"/>
    </row>
    <row r="278" spans="1:1">
      <c r="A278" s="73"/>
    </row>
    <row r="279" spans="1:1">
      <c r="A279" s="73"/>
    </row>
    <row r="280" spans="1:1">
      <c r="A280" s="73"/>
    </row>
    <row r="281" spans="1:1">
      <c r="A281" s="73"/>
    </row>
    <row r="282" spans="1:1">
      <c r="A282" s="73"/>
    </row>
    <row r="283" spans="1:1">
      <c r="A283" s="73"/>
    </row>
    <row r="284" spans="1:1">
      <c r="A284" s="73"/>
    </row>
    <row r="285" spans="1:1">
      <c r="A285" s="73"/>
    </row>
    <row r="286" spans="1:1">
      <c r="A286" s="73"/>
    </row>
    <row r="287" spans="1:1">
      <c r="A287" s="73"/>
    </row>
    <row r="288" spans="1:1">
      <c r="A288" s="73"/>
    </row>
    <row r="289" spans="1:1">
      <c r="A289" s="73"/>
    </row>
    <row r="290" spans="1:1">
      <c r="A290" s="73"/>
    </row>
    <row r="291" spans="1:1">
      <c r="A291" s="73"/>
    </row>
    <row r="292" spans="1:1">
      <c r="A292" s="73"/>
    </row>
    <row r="293" spans="1:1">
      <c r="A293" s="73"/>
    </row>
    <row r="294" spans="1:1">
      <c r="A294" s="73"/>
    </row>
    <row r="295" spans="1:1">
      <c r="A295" s="73"/>
    </row>
    <row r="296" spans="1:1">
      <c r="A296" s="73"/>
    </row>
    <row r="297" spans="1:1">
      <c r="A297" s="73"/>
    </row>
    <row r="298" spans="1:1">
      <c r="A298" s="73"/>
    </row>
    <row r="299" spans="1:1">
      <c r="A299" s="73"/>
    </row>
    <row r="300" spans="1:1">
      <c r="A300" s="73"/>
    </row>
    <row r="301" spans="1:1">
      <c r="A301" s="73"/>
    </row>
    <row r="302" spans="1:1">
      <c r="A302" s="73"/>
    </row>
    <row r="303" spans="1:1">
      <c r="A303" s="73"/>
    </row>
    <row r="304" spans="1:1">
      <c r="A304" s="73"/>
    </row>
    <row r="305" spans="1:1">
      <c r="A305" s="73"/>
    </row>
    <row r="306" spans="1:1">
      <c r="A306" s="73"/>
    </row>
    <row r="307" spans="1:1">
      <c r="A307" s="73"/>
    </row>
    <row r="308" spans="1:1">
      <c r="A308" s="73"/>
    </row>
    <row r="309" spans="1:1">
      <c r="A309" s="73"/>
    </row>
    <row r="310" spans="1:1">
      <c r="A310" s="73"/>
    </row>
    <row r="311" spans="1:1">
      <c r="A311" s="73"/>
    </row>
    <row r="312" spans="1:1">
      <c r="A312" s="73"/>
    </row>
    <row r="313" spans="1:1">
      <c r="A313" s="73"/>
    </row>
    <row r="314" spans="1:1">
      <c r="A314" s="73"/>
    </row>
    <row r="315" spans="1:1">
      <c r="A315" s="73"/>
    </row>
    <row r="316" spans="1:1">
      <c r="A316" s="73"/>
    </row>
    <row r="317" spans="1:1">
      <c r="A317" s="73"/>
    </row>
    <row r="318" spans="1:1">
      <c r="A318" s="73"/>
    </row>
    <row r="319" spans="1:1">
      <c r="A319" s="73"/>
    </row>
    <row r="320" spans="1:1">
      <c r="A320" s="73"/>
    </row>
    <row r="321" spans="1:1">
      <c r="A321" s="73"/>
    </row>
    <row r="322" spans="1:1">
      <c r="A322" s="73"/>
    </row>
    <row r="323" spans="1:1">
      <c r="A323" s="73"/>
    </row>
    <row r="324" spans="1:1">
      <c r="A324" s="73"/>
    </row>
    <row r="325" spans="1:1">
      <c r="A325" s="73"/>
    </row>
    <row r="326" spans="1:1">
      <c r="A326" s="73"/>
    </row>
    <row r="327" spans="1:1">
      <c r="A327" s="73"/>
    </row>
    <row r="328" spans="1:1">
      <c r="A328" s="73"/>
    </row>
    <row r="329" spans="1:1">
      <c r="A329" s="73"/>
    </row>
    <row r="330" spans="1:1">
      <c r="A330" s="73"/>
    </row>
    <row r="331" spans="1:1">
      <c r="A331" s="73"/>
    </row>
    <row r="332" spans="1:1">
      <c r="A332" s="73"/>
    </row>
    <row r="333" spans="1:1">
      <c r="A333" s="73"/>
    </row>
    <row r="334" spans="1:1">
      <c r="A334" s="73"/>
    </row>
    <row r="335" spans="1:1">
      <c r="A335" s="73"/>
    </row>
    <row r="336" spans="1:1">
      <c r="A336" s="73"/>
    </row>
    <row r="337" spans="1:1">
      <c r="A337" s="73"/>
    </row>
    <row r="338" spans="1:1">
      <c r="A338" s="73"/>
    </row>
    <row r="339" spans="1:1">
      <c r="A339" s="73"/>
    </row>
    <row r="340" spans="1:1">
      <c r="A340" s="73"/>
    </row>
    <row r="341" spans="1:1">
      <c r="A341" s="73"/>
    </row>
    <row r="342" spans="1:1">
      <c r="A342" s="73"/>
    </row>
    <row r="343" spans="1:1">
      <c r="A343" s="73"/>
    </row>
    <row r="344" spans="1:1">
      <c r="A344" s="73"/>
    </row>
    <row r="345" spans="1:1">
      <c r="A345" s="73"/>
    </row>
    <row r="346" spans="1:1">
      <c r="A346" s="73"/>
    </row>
    <row r="347" spans="1:1">
      <c r="A347" s="73"/>
    </row>
    <row r="348" spans="1:1">
      <c r="A348" s="73"/>
    </row>
    <row r="349" spans="1:1">
      <c r="A349" s="73"/>
    </row>
    <row r="350" spans="1:1">
      <c r="A350" s="73"/>
    </row>
    <row r="351" spans="1:1">
      <c r="A351" s="73"/>
    </row>
    <row r="352" spans="1:1">
      <c r="A352" s="73"/>
    </row>
    <row r="353" spans="1:1">
      <c r="A353" s="73"/>
    </row>
    <row r="354" spans="1:1">
      <c r="A354" s="73"/>
    </row>
    <row r="355" spans="1:1">
      <c r="A355" s="73"/>
    </row>
    <row r="356" spans="1:1">
      <c r="A356" s="73"/>
    </row>
    <row r="357" spans="1:1">
      <c r="A357" s="73"/>
    </row>
    <row r="358" spans="1:1">
      <c r="A358" s="73"/>
    </row>
    <row r="359" spans="1:1">
      <c r="A359" s="73"/>
    </row>
    <row r="360" spans="1:1">
      <c r="A360" s="73"/>
    </row>
    <row r="361" spans="1:1">
      <c r="A361" s="73"/>
    </row>
    <row r="362" spans="1:1">
      <c r="A362" s="73"/>
    </row>
    <row r="363" spans="1:1">
      <c r="A363" s="73"/>
    </row>
    <row r="364" spans="1:1">
      <c r="A364" s="73"/>
    </row>
    <row r="365" spans="1:1">
      <c r="A365" s="73"/>
    </row>
    <row r="366" spans="1:1">
      <c r="A366" s="73"/>
    </row>
    <row r="367" spans="1:1">
      <c r="A367" s="73"/>
    </row>
    <row r="368" spans="1:1">
      <c r="A368" s="73"/>
    </row>
    <row r="369" spans="1:1">
      <c r="A369" s="73"/>
    </row>
    <row r="370" spans="1:1">
      <c r="A370" s="73"/>
    </row>
    <row r="371" spans="1:1">
      <c r="A371" s="73"/>
    </row>
    <row r="372" spans="1:1">
      <c r="A372" s="73"/>
    </row>
    <row r="373" spans="1:1">
      <c r="A373" s="73"/>
    </row>
    <row r="374" spans="1:1">
      <c r="A374" s="73"/>
    </row>
    <row r="375" spans="1:1">
      <c r="A375" s="73"/>
    </row>
    <row r="376" spans="1:1">
      <c r="A376" s="73"/>
    </row>
    <row r="377" spans="1:1">
      <c r="A377" s="73"/>
    </row>
    <row r="378" spans="1:1">
      <c r="A378" s="73"/>
    </row>
    <row r="379" spans="1:1">
      <c r="A379" s="73"/>
    </row>
    <row r="380" spans="1:1">
      <c r="A380" s="73"/>
    </row>
    <row r="381" spans="1:1">
      <c r="A381" s="73"/>
    </row>
  </sheetData>
  <mergeCells count="5">
    <mergeCell ref="C158:D158"/>
    <mergeCell ref="C159:D159"/>
    <mergeCell ref="A1:F1"/>
    <mergeCell ref="F158:G158"/>
    <mergeCell ref="F159:G159"/>
  </mergeCells>
  <pageMargins left="0.23622047244094491" right="0.15748031496062992" top="0.19685039370078741" bottom="0.19685039370078741" header="0.19685039370078741" footer="0.19685039370078741"/>
  <pageSetup paperSize="9" scale="6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U203"/>
  <sheetViews>
    <sheetView view="pageBreakPreview" topLeftCell="A127" zoomScale="55" zoomScaleNormal="60" zoomScaleSheetLayoutView="55" workbookViewId="0">
      <selection activeCell="L15" sqref="L15"/>
    </sheetView>
  </sheetViews>
  <sheetFormatPr defaultRowHeight="20.25"/>
  <cols>
    <col min="1" max="1" width="8.28515625" style="273" customWidth="1"/>
    <col min="2" max="2" width="26.140625" style="276" customWidth="1"/>
    <col min="3" max="3" width="11.28515625" style="276" customWidth="1"/>
    <col min="4" max="4" width="23" style="276" customWidth="1"/>
    <col min="5" max="8" width="15.85546875" style="273" customWidth="1"/>
    <col min="9" max="9" width="16.140625" style="273" customWidth="1"/>
    <col min="10" max="10" width="16.5703125" style="273" customWidth="1"/>
    <col min="11" max="11" width="15.85546875" style="273" customWidth="1"/>
    <col min="12" max="12" width="16.85546875" style="273" customWidth="1"/>
    <col min="13" max="13" width="16.140625" style="273" customWidth="1"/>
    <col min="14" max="14" width="17.42578125" style="273" customWidth="1"/>
    <col min="15" max="15" width="14.5703125" style="273" customWidth="1"/>
    <col min="16" max="16" width="16.42578125" style="273" customWidth="1"/>
    <col min="17" max="17" width="16.28515625" style="273" customWidth="1"/>
    <col min="18" max="18" width="16.5703125" style="273" customWidth="1"/>
    <col min="19" max="19" width="16.28515625" style="273" customWidth="1"/>
    <col min="20" max="20" width="17.140625" style="273" customWidth="1"/>
    <col min="21" max="21" width="17.7109375" style="273" customWidth="1"/>
    <col min="22" max="22" width="13" style="273" customWidth="1"/>
    <col min="23" max="23" width="13.28515625" style="273" customWidth="1"/>
    <col min="24" max="24" width="13.5703125" style="273" customWidth="1"/>
    <col min="25" max="25" width="14.28515625" style="273" customWidth="1"/>
    <col min="26" max="16384" width="9.140625" style="273"/>
  </cols>
  <sheetData>
    <row r="1" spans="1:21">
      <c r="A1" s="302"/>
      <c r="B1" s="303"/>
      <c r="C1" s="303"/>
      <c r="D1" s="303"/>
      <c r="E1" s="302"/>
      <c r="F1" s="302"/>
      <c r="G1" s="302"/>
      <c r="H1" s="302"/>
      <c r="I1" s="302"/>
      <c r="J1" s="302"/>
      <c r="K1" s="304"/>
      <c r="L1" s="304"/>
      <c r="M1" s="304"/>
      <c r="N1" s="305"/>
      <c r="O1" s="305"/>
      <c r="P1" s="305"/>
      <c r="Q1" s="305"/>
      <c r="R1" s="305"/>
      <c r="S1" s="305"/>
      <c r="T1" s="305"/>
      <c r="U1" s="304"/>
    </row>
    <row r="2" spans="1:21" s="274" customFormat="1" ht="63.75" customHeight="1">
      <c r="A2" s="306"/>
      <c r="B2" s="306"/>
      <c r="C2" s="306"/>
      <c r="D2" s="306"/>
      <c r="E2" s="376" t="s">
        <v>192</v>
      </c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06"/>
      <c r="R2" s="306"/>
      <c r="S2" s="306"/>
      <c r="T2" s="306"/>
      <c r="U2" s="306"/>
    </row>
    <row r="3" spans="1:21">
      <c r="A3" s="307"/>
      <c r="B3" s="308"/>
      <c r="C3" s="308"/>
      <c r="D3" s="308"/>
      <c r="E3" s="307"/>
      <c r="F3" s="309"/>
      <c r="G3" s="309"/>
      <c r="H3" s="309"/>
      <c r="I3" s="309"/>
      <c r="J3" s="309"/>
      <c r="K3" s="309"/>
      <c r="L3" s="309"/>
      <c r="M3" s="309"/>
      <c r="N3" s="307"/>
      <c r="O3" s="305"/>
      <c r="P3" s="305"/>
      <c r="Q3" s="305"/>
      <c r="R3" s="305"/>
      <c r="S3" s="305"/>
      <c r="T3" s="305"/>
      <c r="U3" s="304" t="s">
        <v>86</v>
      </c>
    </row>
    <row r="4" spans="1:21" ht="70.5" customHeight="1">
      <c r="A4" s="377" t="s">
        <v>9</v>
      </c>
      <c r="B4" s="377" t="s">
        <v>30</v>
      </c>
      <c r="C4" s="377"/>
      <c r="D4" s="377"/>
      <c r="E4" s="377" t="s">
        <v>10</v>
      </c>
      <c r="F4" s="377"/>
      <c r="G4" s="377"/>
      <c r="H4" s="377" t="s">
        <v>665</v>
      </c>
      <c r="I4" s="377"/>
      <c r="J4" s="377"/>
      <c r="K4" s="377" t="s">
        <v>678</v>
      </c>
      <c r="L4" s="377"/>
      <c r="M4" s="377"/>
      <c r="N4" s="377" t="s">
        <v>666</v>
      </c>
      <c r="O4" s="377"/>
      <c r="P4" s="377"/>
      <c r="Q4" s="377" t="s">
        <v>11</v>
      </c>
      <c r="R4" s="377"/>
      <c r="S4" s="377"/>
      <c r="T4" s="377"/>
      <c r="U4" s="377"/>
    </row>
    <row r="5" spans="1:21" ht="81" customHeight="1">
      <c r="A5" s="377"/>
      <c r="B5" s="377"/>
      <c r="C5" s="377"/>
      <c r="D5" s="377"/>
      <c r="E5" s="310" t="s">
        <v>635</v>
      </c>
      <c r="F5" s="310" t="s">
        <v>636</v>
      </c>
      <c r="G5" s="310" t="s">
        <v>637</v>
      </c>
      <c r="H5" s="310" t="s">
        <v>635</v>
      </c>
      <c r="I5" s="310" t="s">
        <v>636</v>
      </c>
      <c r="J5" s="310" t="s">
        <v>637</v>
      </c>
      <c r="K5" s="310" t="s">
        <v>635</v>
      </c>
      <c r="L5" s="310" t="s">
        <v>636</v>
      </c>
      <c r="M5" s="310" t="s">
        <v>637</v>
      </c>
      <c r="N5" s="310" t="s">
        <v>635</v>
      </c>
      <c r="O5" s="310" t="s">
        <v>636</v>
      </c>
      <c r="P5" s="310" t="s">
        <v>637</v>
      </c>
      <c r="Q5" s="310" t="s">
        <v>635</v>
      </c>
      <c r="R5" s="310" t="s">
        <v>636</v>
      </c>
      <c r="S5" s="310" t="s">
        <v>637</v>
      </c>
      <c r="T5" s="271" t="s">
        <v>184</v>
      </c>
      <c r="U5" s="271" t="s">
        <v>187</v>
      </c>
    </row>
    <row r="6" spans="1:21" ht="30" customHeight="1">
      <c r="A6" s="271">
        <v>1</v>
      </c>
      <c r="B6" s="377">
        <v>2</v>
      </c>
      <c r="C6" s="377"/>
      <c r="D6" s="377"/>
      <c r="E6" s="271">
        <v>3</v>
      </c>
      <c r="F6" s="271">
        <v>4</v>
      </c>
      <c r="G6" s="271">
        <v>5</v>
      </c>
      <c r="H6" s="271">
        <v>6</v>
      </c>
      <c r="I6" s="271">
        <v>7</v>
      </c>
      <c r="J6" s="271">
        <v>8</v>
      </c>
      <c r="K6" s="271">
        <v>9</v>
      </c>
      <c r="L6" s="271">
        <v>10</v>
      </c>
      <c r="M6" s="271">
        <v>11</v>
      </c>
      <c r="N6" s="296">
        <v>12</v>
      </c>
      <c r="O6" s="296">
        <v>13</v>
      </c>
      <c r="P6" s="296">
        <v>14</v>
      </c>
      <c r="Q6" s="296">
        <v>15</v>
      </c>
      <c r="R6" s="296">
        <v>16</v>
      </c>
      <c r="S6" s="296">
        <v>17</v>
      </c>
      <c r="T6" s="296">
        <v>18</v>
      </c>
      <c r="U6" s="296">
        <v>19</v>
      </c>
    </row>
    <row r="7" spans="1:21" ht="48" customHeight="1">
      <c r="A7" s="290" t="s">
        <v>140</v>
      </c>
      <c r="B7" s="390" t="s">
        <v>154</v>
      </c>
      <c r="C7" s="391"/>
      <c r="D7" s="391"/>
      <c r="E7" s="282">
        <f t="shared" ref="E7:S7" si="0">SUM(E8:E68)</f>
        <v>0</v>
      </c>
      <c r="F7" s="282">
        <f t="shared" si="0"/>
        <v>0</v>
      </c>
      <c r="G7" s="282">
        <f t="shared" si="0"/>
        <v>0</v>
      </c>
      <c r="H7" s="282">
        <f t="shared" si="0"/>
        <v>955.8</v>
      </c>
      <c r="I7" s="282">
        <f t="shared" si="0"/>
        <v>4814.1000000000004</v>
      </c>
      <c r="J7" s="282">
        <f t="shared" si="0"/>
        <v>5978.2</v>
      </c>
      <c r="K7" s="282">
        <f t="shared" si="0"/>
        <v>25.7</v>
      </c>
      <c r="L7" s="282">
        <f t="shared" si="0"/>
        <v>113.7</v>
      </c>
      <c r="M7" s="282">
        <f t="shared" si="0"/>
        <v>58.2</v>
      </c>
      <c r="N7" s="282">
        <f t="shared" si="0"/>
        <v>291.39999999999998</v>
      </c>
      <c r="O7" s="282">
        <f t="shared" si="0"/>
        <v>0</v>
      </c>
      <c r="P7" s="282">
        <f t="shared" si="0"/>
        <v>86.4</v>
      </c>
      <c r="Q7" s="282">
        <f t="shared" si="0"/>
        <v>1272.9000000000001</v>
      </c>
      <c r="R7" s="282">
        <f t="shared" si="0"/>
        <v>4927.8</v>
      </c>
      <c r="S7" s="282">
        <f t="shared" si="0"/>
        <v>6122.8</v>
      </c>
      <c r="T7" s="282">
        <f t="shared" ref="T7:T68" si="1">S7-R7</f>
        <v>1195</v>
      </c>
      <c r="U7" s="282">
        <f t="shared" ref="U7:U49" si="2">(S7/R7)*100</f>
        <v>124.25017249076666</v>
      </c>
    </row>
    <row r="8" spans="1:21">
      <c r="A8" s="271"/>
      <c r="B8" s="378" t="str">
        <f>'Розшифровка кап'!A7</f>
        <v>набір шаф 1 комплект</v>
      </c>
      <c r="C8" s="379"/>
      <c r="D8" s="380"/>
      <c r="E8" s="283"/>
      <c r="F8" s="283"/>
      <c r="G8" s="283"/>
      <c r="H8" s="283"/>
      <c r="I8" s="283"/>
      <c r="J8" s="283">
        <v>8.5</v>
      </c>
      <c r="K8" s="283"/>
      <c r="L8" s="283"/>
      <c r="M8" s="283"/>
      <c r="N8" s="283"/>
      <c r="O8" s="284"/>
      <c r="P8" s="284"/>
      <c r="Q8" s="283">
        <f>SUM(E8,H8,K8,)</f>
        <v>0</v>
      </c>
      <c r="R8" s="282">
        <f t="shared" ref="R8:R68" si="3">F8+I8+L8+O8</f>
        <v>0</v>
      </c>
      <c r="S8" s="283">
        <f t="shared" ref="S8:S68" si="4">G8+J8+M8+P8</f>
        <v>8.5</v>
      </c>
      <c r="T8" s="283">
        <f t="shared" si="1"/>
        <v>8.5</v>
      </c>
      <c r="U8" s="283"/>
    </row>
    <row r="9" spans="1:21">
      <c r="A9" s="271"/>
      <c r="B9" s="378" t="str">
        <f>'Розшифровка кап'!A8</f>
        <v>шафа-купе з тумбою</v>
      </c>
      <c r="C9" s="379"/>
      <c r="D9" s="380"/>
      <c r="E9" s="283"/>
      <c r="F9" s="283"/>
      <c r="G9" s="283"/>
      <c r="H9" s="283"/>
      <c r="I9" s="283"/>
      <c r="J9" s="283">
        <v>10.6</v>
      </c>
      <c r="K9" s="283"/>
      <c r="L9" s="283"/>
      <c r="M9" s="283"/>
      <c r="N9" s="283"/>
      <c r="O9" s="284"/>
      <c r="P9" s="284"/>
      <c r="Q9" s="283">
        <f t="shared" ref="Q9:Q64" si="5">SUM(E9,H9,K9,)</f>
        <v>0</v>
      </c>
      <c r="R9" s="282">
        <f t="shared" si="3"/>
        <v>0</v>
      </c>
      <c r="S9" s="283">
        <f t="shared" si="4"/>
        <v>10.6</v>
      </c>
      <c r="T9" s="283">
        <f t="shared" si="1"/>
        <v>10.6</v>
      </c>
      <c r="U9" s="283"/>
    </row>
    <row r="10" spans="1:21">
      <c r="A10" s="271"/>
      <c r="B10" s="378" t="str">
        <f>'Розшифровка кап'!A9</f>
        <v>комплект стелажів</v>
      </c>
      <c r="C10" s="379"/>
      <c r="D10" s="380"/>
      <c r="E10" s="283"/>
      <c r="F10" s="283"/>
      <c r="G10" s="283"/>
      <c r="H10" s="283"/>
      <c r="I10" s="283"/>
      <c r="J10" s="283">
        <v>15.8</v>
      </c>
      <c r="K10" s="283"/>
      <c r="L10" s="283"/>
      <c r="M10" s="283"/>
      <c r="N10" s="283"/>
      <c r="O10" s="284"/>
      <c r="P10" s="284"/>
      <c r="Q10" s="283">
        <f t="shared" si="5"/>
        <v>0</v>
      </c>
      <c r="R10" s="282">
        <f t="shared" si="3"/>
        <v>0</v>
      </c>
      <c r="S10" s="283">
        <f t="shared" si="4"/>
        <v>15.8</v>
      </c>
      <c r="T10" s="283">
        <f t="shared" si="1"/>
        <v>15.8</v>
      </c>
      <c r="U10" s="283"/>
    </row>
    <row r="11" spans="1:21" ht="42.75" customHeight="1">
      <c r="A11" s="271"/>
      <c r="B11" s="378" t="str">
        <f>'Розшифровка кап'!A10</f>
        <v>припливно-витяжна система вентиляції повітря (11 шт)</v>
      </c>
      <c r="C11" s="379"/>
      <c r="D11" s="380"/>
      <c r="E11" s="283"/>
      <c r="F11" s="283"/>
      <c r="G11" s="283"/>
      <c r="H11" s="283"/>
      <c r="I11" s="283"/>
      <c r="J11" s="283">
        <v>194.5</v>
      </c>
      <c r="K11" s="283"/>
      <c r="L11" s="283"/>
      <c r="M11" s="283"/>
      <c r="N11" s="283"/>
      <c r="O11" s="284"/>
      <c r="P11" s="284"/>
      <c r="Q11" s="283">
        <f t="shared" si="5"/>
        <v>0</v>
      </c>
      <c r="R11" s="282">
        <f t="shared" si="3"/>
        <v>0</v>
      </c>
      <c r="S11" s="283">
        <f t="shared" si="4"/>
        <v>194.5</v>
      </c>
      <c r="T11" s="283">
        <f t="shared" si="1"/>
        <v>194.5</v>
      </c>
      <c r="U11" s="283"/>
    </row>
    <row r="12" spans="1:21" ht="45" customHeight="1">
      <c r="A12" s="271"/>
      <c r="B12" s="378" t="str">
        <f>'Розшифровка кап'!A11</f>
        <v>фотокалітичний знезаражувач і очисник повітря (7 шт)</v>
      </c>
      <c r="C12" s="379"/>
      <c r="D12" s="380"/>
      <c r="E12" s="283"/>
      <c r="F12" s="283"/>
      <c r="G12" s="283"/>
      <c r="H12" s="283"/>
      <c r="I12" s="283"/>
      <c r="J12" s="283">
        <v>49</v>
      </c>
      <c r="K12" s="283"/>
      <c r="L12" s="283"/>
      <c r="M12" s="283"/>
      <c r="N12" s="283"/>
      <c r="O12" s="284"/>
      <c r="P12" s="284"/>
      <c r="Q12" s="283">
        <f t="shared" si="5"/>
        <v>0</v>
      </c>
      <c r="R12" s="282">
        <f t="shared" si="3"/>
        <v>0</v>
      </c>
      <c r="S12" s="283">
        <f t="shared" si="4"/>
        <v>49</v>
      </c>
      <c r="T12" s="283">
        <f t="shared" si="1"/>
        <v>49</v>
      </c>
      <c r="U12" s="283"/>
    </row>
    <row r="13" spans="1:21" ht="28.5" customHeight="1">
      <c r="A13" s="271"/>
      <c r="B13" s="378" t="str">
        <f>'Розшифровка кап'!A12</f>
        <v>установка (рамка) дезінфікуюча (4 шт)</v>
      </c>
      <c r="C13" s="379"/>
      <c r="D13" s="380"/>
      <c r="E13" s="283"/>
      <c r="F13" s="283"/>
      <c r="G13" s="283"/>
      <c r="H13" s="283"/>
      <c r="I13" s="283"/>
      <c r="J13" s="283">
        <v>40.799999999999997</v>
      </c>
      <c r="K13" s="283"/>
      <c r="L13" s="283"/>
      <c r="M13" s="283"/>
      <c r="N13" s="283"/>
      <c r="O13" s="284"/>
      <c r="P13" s="284"/>
      <c r="Q13" s="283">
        <f t="shared" si="5"/>
        <v>0</v>
      </c>
      <c r="R13" s="282">
        <f t="shared" si="3"/>
        <v>0</v>
      </c>
      <c r="S13" s="283">
        <f t="shared" si="4"/>
        <v>40.799999999999997</v>
      </c>
      <c r="T13" s="283">
        <f t="shared" si="1"/>
        <v>40.799999999999997</v>
      </c>
      <c r="U13" s="283"/>
    </row>
    <row r="14" spans="1:21" ht="48" customHeight="1">
      <c r="A14" s="271"/>
      <c r="B14" s="378" t="str">
        <f>'Розшифровка кап'!A13</f>
        <v>автоматичний біохімічний аналізатор ACCENT</v>
      </c>
      <c r="C14" s="379"/>
      <c r="D14" s="380"/>
      <c r="E14" s="283"/>
      <c r="F14" s="283"/>
      <c r="G14" s="283"/>
      <c r="H14" s="283"/>
      <c r="I14" s="283"/>
      <c r="J14" s="283">
        <v>604.70000000000005</v>
      </c>
      <c r="K14" s="283"/>
      <c r="L14" s="283"/>
      <c r="M14" s="283"/>
      <c r="N14" s="283"/>
      <c r="O14" s="284"/>
      <c r="P14" s="284"/>
      <c r="Q14" s="283">
        <f t="shared" si="5"/>
        <v>0</v>
      </c>
      <c r="R14" s="282">
        <f t="shared" si="3"/>
        <v>0</v>
      </c>
      <c r="S14" s="283">
        <f t="shared" si="4"/>
        <v>604.70000000000005</v>
      </c>
      <c r="T14" s="283">
        <f t="shared" si="1"/>
        <v>604.70000000000005</v>
      </c>
      <c r="U14" s="283"/>
    </row>
    <row r="15" spans="1:21" ht="43.5" customHeight="1">
      <c r="A15" s="271"/>
      <c r="B15" s="378" t="str">
        <f>'Розшифровка кап'!A14</f>
        <v>автоматичний гематологічний аналізатор Abacus</v>
      </c>
      <c r="C15" s="379"/>
      <c r="D15" s="380"/>
      <c r="E15" s="283"/>
      <c r="F15" s="283"/>
      <c r="G15" s="283"/>
      <c r="H15" s="283"/>
      <c r="I15" s="283"/>
      <c r="J15" s="283">
        <v>189.9</v>
      </c>
      <c r="K15" s="283"/>
      <c r="L15" s="283"/>
      <c r="M15" s="283"/>
      <c r="N15" s="283"/>
      <c r="O15" s="284"/>
      <c r="P15" s="284"/>
      <c r="Q15" s="283">
        <f t="shared" si="5"/>
        <v>0</v>
      </c>
      <c r="R15" s="282">
        <f t="shared" si="3"/>
        <v>0</v>
      </c>
      <c r="S15" s="283">
        <f t="shared" si="4"/>
        <v>189.9</v>
      </c>
      <c r="T15" s="283">
        <f t="shared" si="1"/>
        <v>189.9</v>
      </c>
      <c r="U15" s="283"/>
    </row>
    <row r="16" spans="1:21">
      <c r="A16" s="271"/>
      <c r="B16" s="378" t="str">
        <f>'Розшифровка кап'!A15</f>
        <v xml:space="preserve">дефібрилятор-монітор BeneHeart </v>
      </c>
      <c r="C16" s="379"/>
      <c r="D16" s="380"/>
      <c r="E16" s="283"/>
      <c r="F16" s="283"/>
      <c r="G16" s="283"/>
      <c r="H16" s="283"/>
      <c r="I16" s="283"/>
      <c r="J16" s="283">
        <v>175.7</v>
      </c>
      <c r="K16" s="283"/>
      <c r="L16" s="283"/>
      <c r="M16" s="283"/>
      <c r="N16" s="283"/>
      <c r="O16" s="284"/>
      <c r="P16" s="284"/>
      <c r="Q16" s="283">
        <f t="shared" si="5"/>
        <v>0</v>
      </c>
      <c r="R16" s="282">
        <f t="shared" si="3"/>
        <v>0</v>
      </c>
      <c r="S16" s="283">
        <f t="shared" si="4"/>
        <v>175.7</v>
      </c>
      <c r="T16" s="283">
        <f t="shared" si="1"/>
        <v>175.7</v>
      </c>
      <c r="U16" s="283"/>
    </row>
    <row r="17" spans="1:21">
      <c r="A17" s="271"/>
      <c r="B17" s="378" t="str">
        <f>'Розшифровка кап'!A16</f>
        <v>насос шприцевий BeneFusion (8 шт)</v>
      </c>
      <c r="C17" s="379"/>
      <c r="D17" s="380"/>
      <c r="E17" s="283"/>
      <c r="F17" s="283"/>
      <c r="G17" s="283"/>
      <c r="H17" s="283"/>
      <c r="I17" s="283"/>
      <c r="J17" s="283">
        <v>161.69999999999999</v>
      </c>
      <c r="K17" s="283"/>
      <c r="L17" s="283"/>
      <c r="M17" s="283"/>
      <c r="N17" s="283"/>
      <c r="O17" s="284"/>
      <c r="P17" s="284"/>
      <c r="Q17" s="283">
        <f t="shared" si="5"/>
        <v>0</v>
      </c>
      <c r="R17" s="282">
        <f t="shared" si="3"/>
        <v>0</v>
      </c>
      <c r="S17" s="283">
        <f t="shared" si="4"/>
        <v>161.69999999999999</v>
      </c>
      <c r="T17" s="283">
        <f t="shared" si="1"/>
        <v>161.69999999999999</v>
      </c>
      <c r="U17" s="283"/>
    </row>
    <row r="18" spans="1:21">
      <c r="A18" s="271"/>
      <c r="B18" s="378" t="str">
        <f>'Розшифровка кап'!A17</f>
        <v>напівавтоматичний 2-канальний коагулометр</v>
      </c>
      <c r="C18" s="379"/>
      <c r="D18" s="380"/>
      <c r="E18" s="283"/>
      <c r="F18" s="283"/>
      <c r="G18" s="283"/>
      <c r="H18" s="283" t="s">
        <v>639</v>
      </c>
      <c r="I18" s="283"/>
      <c r="J18" s="283">
        <v>67.900000000000006</v>
      </c>
      <c r="K18" s="283"/>
      <c r="L18" s="283"/>
      <c r="M18" s="283"/>
      <c r="N18" s="283"/>
      <c r="O18" s="284"/>
      <c r="P18" s="284"/>
      <c r="Q18" s="283">
        <f t="shared" si="5"/>
        <v>0</v>
      </c>
      <c r="R18" s="282">
        <f t="shared" si="3"/>
        <v>0</v>
      </c>
      <c r="S18" s="283">
        <f t="shared" si="4"/>
        <v>67.900000000000006</v>
      </c>
      <c r="T18" s="283">
        <f t="shared" si="1"/>
        <v>67.900000000000006</v>
      </c>
      <c r="U18" s="283"/>
    </row>
    <row r="19" spans="1:21" ht="48" customHeight="1">
      <c r="A19" s="271"/>
      <c r="B19" s="378" t="str">
        <f>'Розшифровка кап'!A18</f>
        <v>опромінювач з пеленальним столом типу АИСТ-3</v>
      </c>
      <c r="C19" s="379"/>
      <c r="D19" s="380"/>
      <c r="E19" s="283"/>
      <c r="F19" s="283"/>
      <c r="G19" s="283"/>
      <c r="H19" s="283"/>
      <c r="I19" s="283"/>
      <c r="J19" s="283">
        <v>59.9</v>
      </c>
      <c r="K19" s="283"/>
      <c r="L19" s="283"/>
      <c r="M19" s="283"/>
      <c r="N19" s="283"/>
      <c r="O19" s="284"/>
      <c r="P19" s="284"/>
      <c r="Q19" s="283">
        <f t="shared" si="5"/>
        <v>0</v>
      </c>
      <c r="R19" s="282">
        <f t="shared" si="3"/>
        <v>0</v>
      </c>
      <c r="S19" s="283">
        <f t="shared" si="4"/>
        <v>59.9</v>
      </c>
      <c r="T19" s="283">
        <f t="shared" si="1"/>
        <v>59.9</v>
      </c>
      <c r="U19" s="283"/>
    </row>
    <row r="20" spans="1:21" ht="48" customHeight="1">
      <c r="A20" s="271"/>
      <c r="B20" s="378" t="str">
        <f>'Розшифровка кап'!A19</f>
        <v>реаніматор для новонароджених Т-типу NeopuffTM (2 шт)</v>
      </c>
      <c r="C20" s="379"/>
      <c r="D20" s="380"/>
      <c r="E20" s="283"/>
      <c r="F20" s="283"/>
      <c r="G20" s="283"/>
      <c r="H20" s="283"/>
      <c r="I20" s="283"/>
      <c r="J20" s="283">
        <v>245</v>
      </c>
      <c r="K20" s="283"/>
      <c r="L20" s="283"/>
      <c r="M20" s="283"/>
      <c r="N20" s="283"/>
      <c r="O20" s="284"/>
      <c r="P20" s="284"/>
      <c r="Q20" s="283">
        <f t="shared" si="5"/>
        <v>0</v>
      </c>
      <c r="R20" s="282">
        <f t="shared" si="3"/>
        <v>0</v>
      </c>
      <c r="S20" s="283">
        <f t="shared" si="4"/>
        <v>245</v>
      </c>
      <c r="T20" s="283">
        <f t="shared" si="1"/>
        <v>245</v>
      </c>
      <c r="U20" s="283"/>
    </row>
    <row r="21" spans="1:21">
      <c r="A21" s="271"/>
      <c r="B21" s="378" t="str">
        <f>'Розшифровка кап'!A20</f>
        <v>ультразвукова система Affiniti</v>
      </c>
      <c r="C21" s="379"/>
      <c r="D21" s="380"/>
      <c r="E21" s="283"/>
      <c r="F21" s="283"/>
      <c r="G21" s="283"/>
      <c r="H21" s="283"/>
      <c r="I21" s="283"/>
      <c r="J21" s="283">
        <v>1348.6</v>
      </c>
      <c r="K21" s="283"/>
      <c r="L21" s="283"/>
      <c r="M21" s="283"/>
      <c r="N21" s="283"/>
      <c r="O21" s="284"/>
      <c r="P21" s="284"/>
      <c r="Q21" s="283">
        <f t="shared" si="5"/>
        <v>0</v>
      </c>
      <c r="R21" s="282">
        <f t="shared" si="3"/>
        <v>0</v>
      </c>
      <c r="S21" s="283">
        <f t="shared" si="4"/>
        <v>1348.6</v>
      </c>
      <c r="T21" s="283">
        <f t="shared" si="1"/>
        <v>1348.6</v>
      </c>
      <c r="U21" s="283"/>
    </row>
    <row r="22" spans="1:21">
      <c r="A22" s="271"/>
      <c r="B22" s="378" t="str">
        <f>'Розшифровка кап'!A21</f>
        <v>ІФА аналізатор в комплекті</v>
      </c>
      <c r="C22" s="379"/>
      <c r="D22" s="380"/>
      <c r="E22" s="283"/>
      <c r="F22" s="283"/>
      <c r="G22" s="283"/>
      <c r="H22" s="283"/>
      <c r="I22" s="283"/>
      <c r="J22" s="283">
        <v>173</v>
      </c>
      <c r="K22" s="283"/>
      <c r="L22" s="283"/>
      <c r="M22" s="283"/>
      <c r="N22" s="283"/>
      <c r="O22" s="284"/>
      <c r="P22" s="284"/>
      <c r="Q22" s="283">
        <f t="shared" si="5"/>
        <v>0</v>
      </c>
      <c r="R22" s="282">
        <f t="shared" si="3"/>
        <v>0</v>
      </c>
      <c r="S22" s="283">
        <f t="shared" si="4"/>
        <v>173</v>
      </c>
      <c r="T22" s="283">
        <f t="shared" si="1"/>
        <v>173</v>
      </c>
      <c r="U22" s="283"/>
    </row>
    <row r="23" spans="1:21">
      <c r="A23" s="271"/>
      <c r="B23" s="378" t="str">
        <f>'Розшифровка кап'!A22</f>
        <v>система Mistral</v>
      </c>
      <c r="C23" s="379"/>
      <c r="D23" s="380"/>
      <c r="E23" s="283"/>
      <c r="F23" s="283"/>
      <c r="G23" s="283"/>
      <c r="H23" s="283"/>
      <c r="I23" s="283"/>
      <c r="J23" s="283">
        <v>36</v>
      </c>
      <c r="K23" s="283"/>
      <c r="L23" s="283"/>
      <c r="M23" s="283"/>
      <c r="N23" s="283"/>
      <c r="O23" s="284"/>
      <c r="P23" s="284"/>
      <c r="Q23" s="283">
        <f t="shared" si="5"/>
        <v>0</v>
      </c>
      <c r="R23" s="282">
        <f t="shared" si="3"/>
        <v>0</v>
      </c>
      <c r="S23" s="283">
        <f t="shared" si="4"/>
        <v>36</v>
      </c>
      <c r="T23" s="283">
        <f t="shared" si="1"/>
        <v>36</v>
      </c>
      <c r="U23" s="283"/>
    </row>
    <row r="24" spans="1:21">
      <c r="A24" s="271"/>
      <c r="B24" s="378" t="str">
        <f>'Розшифровка кап'!A23</f>
        <v>повітряний компресор (2 шт)</v>
      </c>
      <c r="C24" s="379"/>
      <c r="D24" s="380"/>
      <c r="E24" s="283"/>
      <c r="F24" s="283"/>
      <c r="G24" s="283"/>
      <c r="H24" s="283"/>
      <c r="I24" s="283"/>
      <c r="J24" s="283">
        <v>96</v>
      </c>
      <c r="K24" s="283"/>
      <c r="L24" s="283"/>
      <c r="M24" s="283"/>
      <c r="N24" s="283"/>
      <c r="O24" s="284"/>
      <c r="P24" s="284"/>
      <c r="Q24" s="283">
        <f t="shared" si="5"/>
        <v>0</v>
      </c>
      <c r="R24" s="282">
        <f t="shared" si="3"/>
        <v>0</v>
      </c>
      <c r="S24" s="283">
        <f t="shared" si="4"/>
        <v>96</v>
      </c>
      <c r="T24" s="283">
        <f t="shared" si="1"/>
        <v>96</v>
      </c>
      <c r="U24" s="283"/>
    </row>
    <row r="25" spans="1:21" ht="66" customHeight="1">
      <c r="A25" s="271"/>
      <c r="B25" s="378" t="str">
        <f>'Розшифровка кап'!A24</f>
        <v>система автоматична інфузійна Infusomat Compact Plus насос волюметричний інфузійний</v>
      </c>
      <c r="C25" s="379"/>
      <c r="D25" s="380"/>
      <c r="E25" s="283"/>
      <c r="F25" s="283"/>
      <c r="G25" s="283"/>
      <c r="H25" s="283"/>
      <c r="I25" s="283"/>
      <c r="J25" s="283">
        <v>74.599999999999994</v>
      </c>
      <c r="K25" s="283"/>
      <c r="L25" s="283"/>
      <c r="M25" s="283"/>
      <c r="N25" s="283"/>
      <c r="O25" s="284"/>
      <c r="P25" s="284"/>
      <c r="Q25" s="283">
        <f t="shared" si="5"/>
        <v>0</v>
      </c>
      <c r="R25" s="282">
        <f t="shared" si="3"/>
        <v>0</v>
      </c>
      <c r="S25" s="283">
        <f t="shared" si="4"/>
        <v>74.599999999999994</v>
      </c>
      <c r="T25" s="283">
        <f t="shared" si="1"/>
        <v>74.599999999999994</v>
      </c>
      <c r="U25" s="283"/>
    </row>
    <row r="26" spans="1:21">
      <c r="A26" s="271"/>
      <c r="B26" s="378" t="str">
        <f>'Розшифровка кап'!A25</f>
        <v>аналізатор газів крові</v>
      </c>
      <c r="C26" s="379"/>
      <c r="D26" s="380"/>
      <c r="E26" s="283"/>
      <c r="F26" s="283"/>
      <c r="G26" s="283"/>
      <c r="H26" s="283"/>
      <c r="I26" s="283"/>
      <c r="J26" s="283">
        <v>284</v>
      </c>
      <c r="K26" s="283"/>
      <c r="L26" s="283"/>
      <c r="M26" s="283"/>
      <c r="N26" s="283"/>
      <c r="O26" s="284"/>
      <c r="P26" s="284"/>
      <c r="Q26" s="283">
        <f t="shared" si="5"/>
        <v>0</v>
      </c>
      <c r="R26" s="282">
        <f t="shared" si="3"/>
        <v>0</v>
      </c>
      <c r="S26" s="283">
        <f t="shared" si="4"/>
        <v>284</v>
      </c>
      <c r="T26" s="283">
        <f t="shared" si="1"/>
        <v>284</v>
      </c>
      <c r="U26" s="283"/>
    </row>
    <row r="27" spans="1:21">
      <c r="A27" s="271"/>
      <c r="B27" s="378" t="str">
        <f>'Розшифровка кап'!A26</f>
        <v>пральна машина Indesit</v>
      </c>
      <c r="C27" s="379"/>
      <c r="D27" s="380"/>
      <c r="E27" s="283"/>
      <c r="F27" s="283"/>
      <c r="G27" s="283"/>
      <c r="H27" s="283"/>
      <c r="I27" s="283"/>
      <c r="J27" s="283">
        <v>7.5</v>
      </c>
      <c r="K27" s="283"/>
      <c r="L27" s="283"/>
      <c r="M27" s="283"/>
      <c r="N27" s="283"/>
      <c r="O27" s="284"/>
      <c r="P27" s="284"/>
      <c r="Q27" s="283">
        <f>SUM(E27,H27,K27,)</f>
        <v>0</v>
      </c>
      <c r="R27" s="282">
        <f t="shared" si="3"/>
        <v>0</v>
      </c>
      <c r="S27" s="283">
        <f t="shared" si="4"/>
        <v>7.5</v>
      </c>
      <c r="T27" s="283">
        <f t="shared" si="1"/>
        <v>7.5</v>
      </c>
      <c r="U27" s="283"/>
    </row>
    <row r="28" spans="1:21">
      <c r="A28" s="271"/>
      <c r="B28" s="378" t="str">
        <f>'Розшифровка кап'!A27</f>
        <v>центрифуга лабораторна</v>
      </c>
      <c r="C28" s="379"/>
      <c r="D28" s="380"/>
      <c r="E28" s="283"/>
      <c r="F28" s="283"/>
      <c r="G28" s="283"/>
      <c r="H28" s="283"/>
      <c r="I28" s="283"/>
      <c r="J28" s="283">
        <v>11.8</v>
      </c>
      <c r="K28" s="283"/>
      <c r="L28" s="283"/>
      <c r="M28" s="283"/>
      <c r="N28" s="283"/>
      <c r="O28" s="284"/>
      <c r="P28" s="284"/>
      <c r="Q28" s="283">
        <f t="shared" si="5"/>
        <v>0</v>
      </c>
      <c r="R28" s="282">
        <f t="shared" si="3"/>
        <v>0</v>
      </c>
      <c r="S28" s="283">
        <f t="shared" si="4"/>
        <v>11.8</v>
      </c>
      <c r="T28" s="283">
        <f t="shared" si="1"/>
        <v>11.8</v>
      </c>
      <c r="U28" s="283"/>
    </row>
    <row r="29" spans="1:21" ht="48" customHeight="1">
      <c r="A29" s="271"/>
      <c r="B29" s="378" t="str">
        <f>'Розшифровка кап'!A28</f>
        <v>вантажний автомобіль CKC PGP-05 PK (рефрижераторний)</v>
      </c>
      <c r="C29" s="379"/>
      <c r="D29" s="380"/>
      <c r="E29" s="283"/>
      <c r="F29" s="283"/>
      <c r="G29" s="283"/>
      <c r="H29" s="283"/>
      <c r="I29" s="283"/>
      <c r="J29" s="283">
        <v>647</v>
      </c>
      <c r="K29" s="283"/>
      <c r="L29" s="283"/>
      <c r="M29" s="283"/>
      <c r="N29" s="283"/>
      <c r="O29" s="284"/>
      <c r="P29" s="284"/>
      <c r="Q29" s="283">
        <f t="shared" si="5"/>
        <v>0</v>
      </c>
      <c r="R29" s="282">
        <f t="shared" si="3"/>
        <v>0</v>
      </c>
      <c r="S29" s="283">
        <f t="shared" si="4"/>
        <v>647</v>
      </c>
      <c r="T29" s="283">
        <f t="shared" si="1"/>
        <v>647</v>
      </c>
      <c r="U29" s="283"/>
    </row>
    <row r="30" spans="1:21">
      <c r="A30" s="271"/>
      <c r="B30" s="378" t="str">
        <f>'Розшифровка кап'!A29</f>
        <v>шафа шестисекційна</v>
      </c>
      <c r="C30" s="379"/>
      <c r="D30" s="380"/>
      <c r="E30" s="283"/>
      <c r="F30" s="283"/>
      <c r="G30" s="283"/>
      <c r="H30" s="283"/>
      <c r="I30" s="283"/>
      <c r="J30" s="283"/>
      <c r="K30" s="283"/>
      <c r="L30" s="283"/>
      <c r="M30" s="283">
        <v>39.5</v>
      </c>
      <c r="N30" s="283"/>
      <c r="O30" s="284"/>
      <c r="P30" s="284"/>
      <c r="Q30" s="283">
        <f t="shared" si="5"/>
        <v>0</v>
      </c>
      <c r="R30" s="282">
        <f t="shared" si="3"/>
        <v>0</v>
      </c>
      <c r="S30" s="283">
        <f t="shared" si="4"/>
        <v>39.5</v>
      </c>
      <c r="T30" s="283">
        <f t="shared" si="1"/>
        <v>39.5</v>
      </c>
      <c r="U30" s="283"/>
    </row>
    <row r="31" spans="1:21">
      <c r="A31" s="271"/>
      <c r="B31" s="378" t="str">
        <f>'Розшифровка кап'!A30</f>
        <v>шафа з вітриною</v>
      </c>
      <c r="C31" s="379"/>
      <c r="D31" s="380"/>
      <c r="E31" s="283"/>
      <c r="F31" s="283"/>
      <c r="G31" s="283"/>
      <c r="H31" s="283"/>
      <c r="I31" s="283"/>
      <c r="J31" s="283"/>
      <c r="K31" s="283"/>
      <c r="L31" s="283"/>
      <c r="M31" s="283">
        <v>18.7</v>
      </c>
      <c r="N31" s="283"/>
      <c r="O31" s="284"/>
      <c r="P31" s="284"/>
      <c r="Q31" s="283">
        <f t="shared" si="5"/>
        <v>0</v>
      </c>
      <c r="R31" s="282">
        <f t="shared" si="3"/>
        <v>0</v>
      </c>
      <c r="S31" s="283">
        <f t="shared" si="4"/>
        <v>18.7</v>
      </c>
      <c r="T31" s="283">
        <f t="shared" si="1"/>
        <v>18.7</v>
      </c>
      <c r="U31" s="283"/>
    </row>
    <row r="32" spans="1:21">
      <c r="A32" s="271"/>
      <c r="B32" s="378" t="str">
        <f>'Розшифровка кап'!A31</f>
        <v>кухня</v>
      </c>
      <c r="C32" s="379"/>
      <c r="D32" s="380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4"/>
      <c r="P32" s="284">
        <v>15.5</v>
      </c>
      <c r="Q32" s="283">
        <f t="shared" si="5"/>
        <v>0</v>
      </c>
      <c r="R32" s="282">
        <f t="shared" si="3"/>
        <v>0</v>
      </c>
      <c r="S32" s="283">
        <f t="shared" si="4"/>
        <v>15.5</v>
      </c>
      <c r="T32" s="283">
        <f t="shared" si="1"/>
        <v>15.5</v>
      </c>
      <c r="U32" s="283"/>
    </row>
    <row r="33" spans="1:21">
      <c r="A33" s="271"/>
      <c r="B33" s="378" t="str">
        <f>'Розшифровка кап'!A32</f>
        <v>аудіометр Sentiero Screening</v>
      </c>
      <c r="C33" s="379"/>
      <c r="D33" s="380"/>
      <c r="E33" s="283"/>
      <c r="F33" s="283"/>
      <c r="G33" s="283"/>
      <c r="H33" s="283"/>
      <c r="I33" s="283"/>
      <c r="J33" s="283">
        <v>235.2</v>
      </c>
      <c r="K33" s="283"/>
      <c r="L33" s="283"/>
      <c r="M33" s="283"/>
      <c r="N33" s="283"/>
      <c r="O33" s="284"/>
      <c r="P33" s="284"/>
      <c r="Q33" s="283">
        <f t="shared" si="5"/>
        <v>0</v>
      </c>
      <c r="R33" s="282">
        <f t="shared" si="3"/>
        <v>0</v>
      </c>
      <c r="S33" s="283">
        <f t="shared" si="4"/>
        <v>235.2</v>
      </c>
      <c r="T33" s="283">
        <f t="shared" si="1"/>
        <v>235.2</v>
      </c>
      <c r="U33" s="283"/>
    </row>
    <row r="34" spans="1:21" ht="48" customHeight="1">
      <c r="A34" s="271"/>
      <c r="B34" s="378" t="str">
        <f>'Розшифровка кап'!A33</f>
        <v>столик анастезіолога, стільниця з нержавіючої сталі СА-3</v>
      </c>
      <c r="C34" s="379"/>
      <c r="D34" s="380"/>
      <c r="E34" s="283"/>
      <c r="F34" s="283"/>
      <c r="G34" s="283"/>
      <c r="H34" s="283"/>
      <c r="I34" s="283"/>
      <c r="J34" s="283">
        <v>7.7</v>
      </c>
      <c r="K34" s="283"/>
      <c r="L34" s="283"/>
      <c r="M34" s="283"/>
      <c r="N34" s="283"/>
      <c r="O34" s="284"/>
      <c r="P34" s="284"/>
      <c r="Q34" s="283">
        <f t="shared" si="5"/>
        <v>0</v>
      </c>
      <c r="R34" s="282">
        <f t="shared" si="3"/>
        <v>0</v>
      </c>
      <c r="S34" s="283">
        <f t="shared" si="4"/>
        <v>7.7</v>
      </c>
      <c r="T34" s="283">
        <f t="shared" si="1"/>
        <v>7.7</v>
      </c>
      <c r="U34" s="283"/>
    </row>
    <row r="35" spans="1:21">
      <c r="A35" s="271"/>
      <c r="B35" s="378" t="str">
        <f>'Розшифровка кап'!A34</f>
        <v>шафа медична для ендоскопів ШМБ 15-Е</v>
      </c>
      <c r="C35" s="379"/>
      <c r="D35" s="380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4"/>
      <c r="P35" s="284">
        <v>16.8</v>
      </c>
      <c r="Q35" s="283">
        <f t="shared" si="5"/>
        <v>0</v>
      </c>
      <c r="R35" s="282">
        <f t="shared" si="3"/>
        <v>0</v>
      </c>
      <c r="S35" s="283">
        <f t="shared" si="4"/>
        <v>16.8</v>
      </c>
      <c r="T35" s="283">
        <f t="shared" si="1"/>
        <v>16.8</v>
      </c>
      <c r="U35" s="283"/>
    </row>
    <row r="36" spans="1:21">
      <c r="A36" s="271"/>
      <c r="B36" s="378" t="str">
        <f>'Розшифровка кап'!A35</f>
        <v>шафа матеріальна (2 шт)</v>
      </c>
      <c r="C36" s="379"/>
      <c r="D36" s="380"/>
      <c r="E36" s="283"/>
      <c r="F36" s="283"/>
      <c r="G36" s="283"/>
      <c r="H36" s="283"/>
      <c r="I36" s="283"/>
      <c r="J36" s="283">
        <v>22.3</v>
      </c>
      <c r="K36" s="283"/>
      <c r="L36" s="283"/>
      <c r="M36" s="283"/>
      <c r="N36" s="283"/>
      <c r="O36" s="284"/>
      <c r="P36" s="284"/>
      <c r="Q36" s="283">
        <f t="shared" si="5"/>
        <v>0</v>
      </c>
      <c r="R36" s="282">
        <f t="shared" si="3"/>
        <v>0</v>
      </c>
      <c r="S36" s="283">
        <f t="shared" si="4"/>
        <v>22.3</v>
      </c>
      <c r="T36" s="283">
        <f t="shared" si="1"/>
        <v>22.3</v>
      </c>
      <c r="U36" s="283"/>
    </row>
    <row r="37" spans="1:21" ht="48" customHeight="1">
      <c r="A37" s="271"/>
      <c r="B37" s="378" t="str">
        <f>'Розшифровка кап'!A36</f>
        <v>світильник оглядовий 12 світлодіодів сенсорний VioLight-2</v>
      </c>
      <c r="C37" s="379"/>
      <c r="D37" s="380"/>
      <c r="E37" s="283"/>
      <c r="F37" s="283"/>
      <c r="G37" s="283"/>
      <c r="H37" s="283"/>
      <c r="I37" s="283"/>
      <c r="J37" s="283">
        <v>13.9</v>
      </c>
      <c r="K37" s="283"/>
      <c r="L37" s="283"/>
      <c r="M37" s="283"/>
      <c r="N37" s="283"/>
      <c r="O37" s="284"/>
      <c r="P37" s="284"/>
      <c r="Q37" s="283">
        <f t="shared" si="5"/>
        <v>0</v>
      </c>
      <c r="R37" s="282">
        <f t="shared" si="3"/>
        <v>0</v>
      </c>
      <c r="S37" s="283">
        <f t="shared" si="4"/>
        <v>13.9</v>
      </c>
      <c r="T37" s="283">
        <f t="shared" si="1"/>
        <v>13.9</v>
      </c>
      <c r="U37" s="283"/>
    </row>
    <row r="38" spans="1:21" ht="60" customHeight="1">
      <c r="A38" s="271"/>
      <c r="B38" s="378" t="str">
        <f>'Розшифровка кап'!A37</f>
        <v>монітор для вимірювання АТи ЧСС ABMP50 укомплектований манжетами для немовлят (2 шт)</v>
      </c>
      <c r="C38" s="379"/>
      <c r="D38" s="380"/>
      <c r="E38" s="283"/>
      <c r="F38" s="283"/>
      <c r="G38" s="283"/>
      <c r="H38" s="283"/>
      <c r="I38" s="283">
        <v>20.100000000000001</v>
      </c>
      <c r="J38" s="283"/>
      <c r="K38" s="283"/>
      <c r="L38" s="283"/>
      <c r="M38" s="283"/>
      <c r="N38" s="283"/>
      <c r="O38" s="284"/>
      <c r="P38" s="284"/>
      <c r="Q38" s="283">
        <f t="shared" si="5"/>
        <v>0</v>
      </c>
      <c r="R38" s="283">
        <f t="shared" si="3"/>
        <v>20.100000000000001</v>
      </c>
      <c r="S38" s="283">
        <f t="shared" si="4"/>
        <v>0</v>
      </c>
      <c r="T38" s="283">
        <f t="shared" si="1"/>
        <v>-20.100000000000001</v>
      </c>
      <c r="U38" s="283"/>
    </row>
    <row r="39" spans="1:21">
      <c r="A39" s="271"/>
      <c r="B39" s="378" t="str">
        <f>'Розшифровка кап'!A38</f>
        <v>монітор пацієнта G2A</v>
      </c>
      <c r="C39" s="379"/>
      <c r="D39" s="380"/>
      <c r="E39" s="283"/>
      <c r="F39" s="283"/>
      <c r="G39" s="283"/>
      <c r="H39" s="283"/>
      <c r="I39" s="283">
        <v>12.6</v>
      </c>
      <c r="J39" s="283"/>
      <c r="K39" s="283"/>
      <c r="L39" s="283"/>
      <c r="M39" s="283"/>
      <c r="N39" s="283"/>
      <c r="O39" s="284"/>
      <c r="P39" s="284"/>
      <c r="Q39" s="283">
        <f t="shared" si="5"/>
        <v>0</v>
      </c>
      <c r="R39" s="283">
        <f t="shared" si="3"/>
        <v>12.6</v>
      </c>
      <c r="S39" s="283">
        <f t="shared" si="4"/>
        <v>0</v>
      </c>
      <c r="T39" s="283">
        <f t="shared" si="1"/>
        <v>-12.6</v>
      </c>
      <c r="U39" s="283">
        <f t="shared" si="2"/>
        <v>0</v>
      </c>
    </row>
    <row r="40" spans="1:21">
      <c r="A40" s="271"/>
      <c r="B40" s="378" t="str">
        <f>'Розшифровка кап'!A39</f>
        <v>монітор пацієнта IMEG10 Mindray</v>
      </c>
      <c r="C40" s="379"/>
      <c r="D40" s="380"/>
      <c r="E40" s="283"/>
      <c r="F40" s="283"/>
      <c r="G40" s="283"/>
      <c r="H40" s="283"/>
      <c r="I40" s="283">
        <v>76.7</v>
      </c>
      <c r="J40" s="283">
        <v>209.6</v>
      </c>
      <c r="K40" s="283"/>
      <c r="L40" s="283"/>
      <c r="M40" s="283"/>
      <c r="N40" s="283"/>
      <c r="O40" s="284"/>
      <c r="P40" s="284"/>
      <c r="Q40" s="283">
        <f t="shared" si="5"/>
        <v>0</v>
      </c>
      <c r="R40" s="283">
        <f t="shared" si="3"/>
        <v>76.7</v>
      </c>
      <c r="S40" s="283">
        <f t="shared" si="4"/>
        <v>209.6</v>
      </c>
      <c r="T40" s="283">
        <f t="shared" si="1"/>
        <v>132.89999999999998</v>
      </c>
      <c r="U40" s="283">
        <f t="shared" si="2"/>
        <v>273.27249022164273</v>
      </c>
    </row>
    <row r="41" spans="1:21" ht="48" customHeight="1">
      <c r="A41" s="271"/>
      <c r="B41" s="378" t="str">
        <f>'Розшифровка кап'!A40</f>
        <v>двухканальный шприцевой дозатор SN-50F66 (8 шт)</v>
      </c>
      <c r="C41" s="379"/>
      <c r="D41" s="380"/>
      <c r="E41" s="283"/>
      <c r="F41" s="283"/>
      <c r="G41" s="283"/>
      <c r="H41" s="283"/>
      <c r="I41" s="283">
        <v>336.6</v>
      </c>
      <c r="J41" s="283"/>
      <c r="K41" s="283"/>
      <c r="L41" s="283"/>
      <c r="M41" s="283"/>
      <c r="N41" s="283"/>
      <c r="O41" s="284"/>
      <c r="P41" s="284"/>
      <c r="Q41" s="283">
        <f t="shared" si="5"/>
        <v>0</v>
      </c>
      <c r="R41" s="283">
        <f t="shared" si="3"/>
        <v>336.6</v>
      </c>
      <c r="S41" s="283">
        <f t="shared" si="4"/>
        <v>0</v>
      </c>
      <c r="T41" s="283">
        <f t="shared" si="1"/>
        <v>-336.6</v>
      </c>
      <c r="U41" s="283">
        <f t="shared" si="2"/>
        <v>0</v>
      </c>
    </row>
    <row r="42" spans="1:21" ht="126.75" customHeight="1">
      <c r="A42" s="271"/>
      <c r="B42" s="378" t="str">
        <f>'Розшифровка кап'!A41</f>
        <v>ультразвукова система  експертного класу DC-80 X-Insight укомлектована: фазований датчик, P10-4E (неонаталогічний), мікроконвексний датчик  С7-3Е, L12-3E лінійний датчик з технологією ComboWave, принтер ч/б</v>
      </c>
      <c r="C42" s="379"/>
      <c r="D42" s="380"/>
      <c r="E42" s="283"/>
      <c r="F42" s="283"/>
      <c r="G42" s="283"/>
      <c r="H42" s="283"/>
      <c r="I42" s="283">
        <v>2550</v>
      </c>
      <c r="J42" s="283"/>
      <c r="K42" s="283"/>
      <c r="L42" s="283"/>
      <c r="M42" s="283"/>
      <c r="N42" s="283"/>
      <c r="O42" s="284"/>
      <c r="P42" s="284"/>
      <c r="Q42" s="283">
        <f t="shared" si="5"/>
        <v>0</v>
      </c>
      <c r="R42" s="283">
        <f t="shared" si="3"/>
        <v>2550</v>
      </c>
      <c r="S42" s="283">
        <f t="shared" si="4"/>
        <v>0</v>
      </c>
      <c r="T42" s="283">
        <f t="shared" si="1"/>
        <v>-2550</v>
      </c>
      <c r="U42" s="283">
        <f t="shared" si="2"/>
        <v>0</v>
      </c>
    </row>
    <row r="43" spans="1:21" ht="48" customHeight="1">
      <c r="A43" s="271"/>
      <c r="B43" s="378" t="str">
        <f>'Розшифровка кап'!A42</f>
        <v>лампа для фототерапії Okuman Medikal (Туреччина) (2 шт)</v>
      </c>
      <c r="C43" s="379"/>
      <c r="D43" s="380"/>
      <c r="E43" s="283"/>
      <c r="F43" s="283"/>
      <c r="G43" s="283"/>
      <c r="H43" s="283"/>
      <c r="I43" s="283">
        <v>151</v>
      </c>
      <c r="J43" s="283"/>
      <c r="K43" s="283"/>
      <c r="L43" s="283"/>
      <c r="M43" s="283"/>
      <c r="N43" s="283"/>
      <c r="O43" s="284"/>
      <c r="P43" s="284"/>
      <c r="Q43" s="283">
        <f t="shared" si="5"/>
        <v>0</v>
      </c>
      <c r="R43" s="283">
        <f t="shared" si="3"/>
        <v>151</v>
      </c>
      <c r="S43" s="283">
        <f t="shared" si="4"/>
        <v>0</v>
      </c>
      <c r="T43" s="283">
        <f t="shared" si="1"/>
        <v>-151</v>
      </c>
      <c r="U43" s="283">
        <f t="shared" si="2"/>
        <v>0</v>
      </c>
    </row>
    <row r="44" spans="1:21" ht="46.5" customHeight="1">
      <c r="A44" s="271"/>
      <c r="B44" s="378" t="str">
        <f>'Розшифровка кап'!A43</f>
        <v>реанімаційа стійка для новонароджених Kangaroo KR-1000 (NOVOS) Турція</v>
      </c>
      <c r="C44" s="379"/>
      <c r="D44" s="380"/>
      <c r="E44" s="283"/>
      <c r="F44" s="283"/>
      <c r="G44" s="283"/>
      <c r="H44" s="283"/>
      <c r="I44" s="283">
        <v>270</v>
      </c>
      <c r="J44" s="283"/>
      <c r="K44" s="283"/>
      <c r="L44" s="283"/>
      <c r="M44" s="283"/>
      <c r="N44" s="283"/>
      <c r="O44" s="284"/>
      <c r="P44" s="284"/>
      <c r="Q44" s="283">
        <f t="shared" si="5"/>
        <v>0</v>
      </c>
      <c r="R44" s="283">
        <f t="shared" si="3"/>
        <v>270</v>
      </c>
      <c r="S44" s="283">
        <f t="shared" si="4"/>
        <v>0</v>
      </c>
      <c r="T44" s="283">
        <f t="shared" si="1"/>
        <v>-270</v>
      </c>
      <c r="U44" s="283">
        <f t="shared" si="2"/>
        <v>0</v>
      </c>
    </row>
    <row r="45" spans="1:21" ht="48" customHeight="1">
      <c r="A45" s="271"/>
      <c r="B45" s="378" t="str">
        <f>'Розшифровка кап'!A44</f>
        <v>апарат для штучної вентиляції легень SLE1000 СРАР (Англія)</v>
      </c>
      <c r="C45" s="379"/>
      <c r="D45" s="380"/>
      <c r="E45" s="283"/>
      <c r="F45" s="283"/>
      <c r="G45" s="283"/>
      <c r="H45" s="283"/>
      <c r="I45" s="283">
        <v>455.5</v>
      </c>
      <c r="J45" s="283">
        <v>858.9</v>
      </c>
      <c r="K45" s="283"/>
      <c r="L45" s="283"/>
      <c r="M45" s="283"/>
      <c r="N45" s="283"/>
      <c r="O45" s="284"/>
      <c r="P45" s="284"/>
      <c r="Q45" s="283">
        <f t="shared" si="5"/>
        <v>0</v>
      </c>
      <c r="R45" s="283">
        <f t="shared" si="3"/>
        <v>455.5</v>
      </c>
      <c r="S45" s="283">
        <f t="shared" si="4"/>
        <v>858.9</v>
      </c>
      <c r="T45" s="283">
        <f t="shared" si="1"/>
        <v>403.4</v>
      </c>
      <c r="U45" s="283">
        <f t="shared" si="2"/>
        <v>188.56201975850712</v>
      </c>
    </row>
    <row r="46" spans="1:21" ht="48" customHeight="1">
      <c r="A46" s="271"/>
      <c r="B46" s="378" t="str">
        <f>'Розшифровка кап'!A45</f>
        <v>аналізатор газів та електролітів крові GEM Premier 3500 (США)</v>
      </c>
      <c r="C46" s="379"/>
      <c r="D46" s="380"/>
      <c r="E46" s="283"/>
      <c r="F46" s="283"/>
      <c r="G46" s="283"/>
      <c r="H46" s="283"/>
      <c r="I46" s="283">
        <v>557.79999999999995</v>
      </c>
      <c r="J46" s="283"/>
      <c r="K46" s="283"/>
      <c r="L46" s="283"/>
      <c r="M46" s="283"/>
      <c r="N46" s="283"/>
      <c r="O46" s="284"/>
      <c r="P46" s="284"/>
      <c r="Q46" s="283">
        <f t="shared" si="5"/>
        <v>0</v>
      </c>
      <c r="R46" s="283">
        <f t="shared" si="3"/>
        <v>557.79999999999995</v>
      </c>
      <c r="S46" s="283">
        <f t="shared" si="4"/>
        <v>0</v>
      </c>
      <c r="T46" s="283">
        <f t="shared" si="1"/>
        <v>-557.79999999999995</v>
      </c>
      <c r="U46" s="283">
        <f t="shared" si="2"/>
        <v>0</v>
      </c>
    </row>
    <row r="47" spans="1:21" ht="46.5" customHeight="1">
      <c r="A47" s="271"/>
      <c r="B47" s="378" t="str">
        <f>'Розшифровка кап'!A46</f>
        <v>автоматичний гематологічний аналізатор DF-50CRP - Сучасний 5-DIFF аналізатор</v>
      </c>
      <c r="C47" s="379"/>
      <c r="D47" s="380"/>
      <c r="E47" s="283"/>
      <c r="F47" s="283"/>
      <c r="G47" s="283"/>
      <c r="H47" s="283"/>
      <c r="I47" s="283">
        <v>383.8</v>
      </c>
      <c r="J47" s="283"/>
      <c r="K47" s="283"/>
      <c r="L47" s="283"/>
      <c r="M47" s="283"/>
      <c r="N47" s="283"/>
      <c r="O47" s="284"/>
      <c r="P47" s="284"/>
      <c r="Q47" s="283">
        <f t="shared" si="5"/>
        <v>0</v>
      </c>
      <c r="R47" s="283">
        <f t="shared" si="3"/>
        <v>383.8</v>
      </c>
      <c r="S47" s="283">
        <f t="shared" si="4"/>
        <v>0</v>
      </c>
      <c r="T47" s="283">
        <f t="shared" si="1"/>
        <v>-383.8</v>
      </c>
      <c r="U47" s="283">
        <f t="shared" si="2"/>
        <v>0</v>
      </c>
    </row>
    <row r="48" spans="1:21" ht="45.75" customHeight="1">
      <c r="A48" s="271"/>
      <c r="B48" s="378" t="str">
        <f>'Розшифровка кап'!A47</f>
        <v>відсмоктувач медичний "БІОМЕД" електричний, модель 7А-23В (20л) (5 шт)</v>
      </c>
      <c r="C48" s="379"/>
      <c r="D48" s="380"/>
      <c r="E48" s="283"/>
      <c r="F48" s="283"/>
      <c r="G48" s="283"/>
      <c r="H48" s="283"/>
      <c r="I48" s="283"/>
      <c r="J48" s="283">
        <v>18.2</v>
      </c>
      <c r="K48" s="283"/>
      <c r="L48" s="283">
        <v>40</v>
      </c>
      <c r="M48" s="283"/>
      <c r="N48" s="283"/>
      <c r="O48" s="284"/>
      <c r="P48" s="284"/>
      <c r="Q48" s="283">
        <f t="shared" si="5"/>
        <v>0</v>
      </c>
      <c r="R48" s="283">
        <f t="shared" si="3"/>
        <v>40</v>
      </c>
      <c r="S48" s="283">
        <f t="shared" si="4"/>
        <v>18.2</v>
      </c>
      <c r="T48" s="283">
        <f t="shared" si="1"/>
        <v>-21.8</v>
      </c>
      <c r="U48" s="283">
        <f t="shared" si="2"/>
        <v>45.499999999999993</v>
      </c>
    </row>
    <row r="49" spans="1:21" ht="86.25" customHeight="1">
      <c r="A49" s="271"/>
      <c r="B49" s="378" t="str">
        <f>'Розшифровка кап'!A48</f>
        <v>портативний пульсоксиметр CX130  укомплектований датчиком SpO2 для новонароджених або педіатричним багаторазового використання (4 шт)</v>
      </c>
      <c r="C49" s="379"/>
      <c r="D49" s="380"/>
      <c r="E49" s="283"/>
      <c r="F49" s="283"/>
      <c r="G49" s="283"/>
      <c r="H49" s="283"/>
      <c r="I49" s="283"/>
      <c r="J49" s="283"/>
      <c r="K49" s="283"/>
      <c r="L49" s="283">
        <v>73.7</v>
      </c>
      <c r="M49" s="283"/>
      <c r="N49" s="283"/>
      <c r="O49" s="284"/>
      <c r="P49" s="284"/>
      <c r="Q49" s="283">
        <f t="shared" si="5"/>
        <v>0</v>
      </c>
      <c r="R49" s="283">
        <f t="shared" si="3"/>
        <v>73.7</v>
      </c>
      <c r="S49" s="283">
        <f t="shared" si="4"/>
        <v>0</v>
      </c>
      <c r="T49" s="283">
        <f t="shared" si="1"/>
        <v>-73.7</v>
      </c>
      <c r="U49" s="283">
        <f t="shared" si="2"/>
        <v>0</v>
      </c>
    </row>
    <row r="50" spans="1:21">
      <c r="A50" s="271"/>
      <c r="B50" s="378" t="str">
        <f>'Розшифровка кап'!A49</f>
        <v>медичне обладнання</v>
      </c>
      <c r="C50" s="379"/>
      <c r="D50" s="380"/>
      <c r="E50" s="283"/>
      <c r="F50" s="283"/>
      <c r="G50" s="283"/>
      <c r="H50" s="283">
        <v>955.8</v>
      </c>
      <c r="I50" s="283"/>
      <c r="J50" s="283"/>
      <c r="K50" s="283"/>
      <c r="L50" s="283"/>
      <c r="M50" s="283"/>
      <c r="N50" s="283"/>
      <c r="O50" s="284"/>
      <c r="P50" s="284"/>
      <c r="Q50" s="283">
        <v>955.8</v>
      </c>
      <c r="R50" s="282">
        <f t="shared" si="3"/>
        <v>0</v>
      </c>
      <c r="S50" s="283">
        <f t="shared" si="4"/>
        <v>0</v>
      </c>
      <c r="T50" s="283">
        <f t="shared" si="1"/>
        <v>0</v>
      </c>
      <c r="U50" s="283"/>
    </row>
    <row r="51" spans="1:21">
      <c r="A51" s="271"/>
      <c r="B51" s="378" t="str">
        <f>'Розшифровка кап'!A50</f>
        <v>джерело безперебійного живлення</v>
      </c>
      <c r="C51" s="379"/>
      <c r="D51" s="380"/>
      <c r="E51" s="283"/>
      <c r="F51" s="283"/>
      <c r="G51" s="283"/>
      <c r="H51" s="283"/>
      <c r="I51" s="283"/>
      <c r="J51" s="283"/>
      <c r="K51" s="283">
        <v>11.2</v>
      </c>
      <c r="L51" s="283"/>
      <c r="M51" s="283"/>
      <c r="N51" s="283"/>
      <c r="O51" s="284"/>
      <c r="P51" s="284"/>
      <c r="Q51" s="283">
        <f t="shared" si="5"/>
        <v>11.2</v>
      </c>
      <c r="R51" s="282">
        <f t="shared" si="3"/>
        <v>0</v>
      </c>
      <c r="S51" s="283">
        <f t="shared" si="4"/>
        <v>0</v>
      </c>
      <c r="T51" s="283">
        <f t="shared" si="1"/>
        <v>0</v>
      </c>
      <c r="U51" s="283"/>
    </row>
    <row r="52" spans="1:21" ht="48" customHeight="1">
      <c r="A52" s="271"/>
      <c r="B52" s="378" t="str">
        <f>'Розшифровка кап'!A52</f>
        <v xml:space="preserve">електрокардіограф "Мідас-ЕК1Т"ТУ У 33.1-14330333-002-2003" </v>
      </c>
      <c r="C52" s="379"/>
      <c r="D52" s="380"/>
      <c r="E52" s="283"/>
      <c r="F52" s="283"/>
      <c r="G52" s="283"/>
      <c r="H52" s="283"/>
      <c r="I52" s="283"/>
      <c r="J52" s="283"/>
      <c r="K52" s="283"/>
      <c r="L52" s="283"/>
      <c r="M52" s="283"/>
      <c r="N52" s="283">
        <v>12.5</v>
      </c>
      <c r="O52" s="284"/>
      <c r="P52" s="284"/>
      <c r="Q52" s="283">
        <v>12.5</v>
      </c>
      <c r="R52" s="282">
        <f t="shared" si="3"/>
        <v>0</v>
      </c>
      <c r="S52" s="283">
        <f t="shared" si="4"/>
        <v>0</v>
      </c>
      <c r="T52" s="283">
        <f t="shared" si="1"/>
        <v>0</v>
      </c>
      <c r="U52" s="283"/>
    </row>
    <row r="53" spans="1:21">
      <c r="A53" s="271"/>
      <c r="B53" s="378" t="str">
        <f>'Розшифровка кап'!A53</f>
        <v>лайтбокси</v>
      </c>
      <c r="C53" s="379"/>
      <c r="D53" s="380"/>
      <c r="E53" s="283"/>
      <c r="F53" s="283"/>
      <c r="G53" s="283"/>
      <c r="H53" s="283"/>
      <c r="I53" s="283"/>
      <c r="J53" s="283"/>
      <c r="K53" s="283"/>
      <c r="L53" s="283"/>
      <c r="M53" s="283"/>
      <c r="N53" s="283">
        <v>60</v>
      </c>
      <c r="O53" s="284"/>
      <c r="P53" s="284"/>
      <c r="Q53" s="283">
        <v>60</v>
      </c>
      <c r="R53" s="282">
        <f t="shared" si="3"/>
        <v>0</v>
      </c>
      <c r="S53" s="283">
        <f t="shared" si="4"/>
        <v>0</v>
      </c>
      <c r="T53" s="283">
        <f t="shared" si="1"/>
        <v>0</v>
      </c>
      <c r="U53" s="283"/>
    </row>
    <row r="54" spans="1:21">
      <c r="A54" s="271"/>
      <c r="B54" s="378" t="str">
        <f>'Розшифровка кап'!A54</f>
        <v>системний блок Everest Enterpise7400</v>
      </c>
      <c r="C54" s="379"/>
      <c r="D54" s="380"/>
      <c r="E54" s="283"/>
      <c r="F54" s="283"/>
      <c r="G54" s="283"/>
      <c r="H54" s="283"/>
      <c r="I54" s="283"/>
      <c r="J54" s="283"/>
      <c r="K54" s="283"/>
      <c r="L54" s="283"/>
      <c r="M54" s="283"/>
      <c r="N54" s="283">
        <v>12.3</v>
      </c>
      <c r="O54" s="284"/>
      <c r="P54" s="284"/>
      <c r="Q54" s="283">
        <v>12.3</v>
      </c>
      <c r="R54" s="282">
        <f t="shared" si="3"/>
        <v>0</v>
      </c>
      <c r="S54" s="283">
        <f t="shared" si="4"/>
        <v>0</v>
      </c>
      <c r="T54" s="283">
        <f t="shared" si="1"/>
        <v>0</v>
      </c>
      <c r="U54" s="283"/>
    </row>
    <row r="55" spans="1:21">
      <c r="A55" s="271"/>
      <c r="B55" s="378" t="str">
        <f>'Розшифровка кап'!A55</f>
        <v xml:space="preserve">апарат для вакуумного масажу АМВО-2М     </v>
      </c>
      <c r="C55" s="379"/>
      <c r="D55" s="380"/>
      <c r="E55" s="283"/>
      <c r="F55" s="283"/>
      <c r="G55" s="283"/>
      <c r="H55" s="283"/>
      <c r="I55" s="283"/>
      <c r="J55" s="283"/>
      <c r="K55" s="283">
        <v>0.5</v>
      </c>
      <c r="L55" s="283"/>
      <c r="M55" s="283"/>
      <c r="N55" s="283">
        <v>7</v>
      </c>
      <c r="O55" s="284"/>
      <c r="P55" s="284"/>
      <c r="Q55" s="283">
        <v>7.5</v>
      </c>
      <c r="R55" s="282">
        <f t="shared" si="3"/>
        <v>0</v>
      </c>
      <c r="S55" s="283">
        <f t="shared" si="4"/>
        <v>0</v>
      </c>
      <c r="T55" s="283">
        <f t="shared" si="1"/>
        <v>0</v>
      </c>
      <c r="U55" s="283"/>
    </row>
    <row r="56" spans="1:21" ht="48" customHeight="1">
      <c r="A56" s="271"/>
      <c r="B56" s="378" t="str">
        <f>'Розшифровка кап'!A56</f>
        <v>холодильна шафа-вітрина "ICE STREAM" (2 шт)</v>
      </c>
      <c r="C56" s="379"/>
      <c r="D56" s="380"/>
      <c r="E56" s="283"/>
      <c r="F56" s="283"/>
      <c r="G56" s="283"/>
      <c r="H56" s="283"/>
      <c r="I56" s="283"/>
      <c r="J56" s="283"/>
      <c r="K56" s="283"/>
      <c r="L56" s="283"/>
      <c r="M56" s="283"/>
      <c r="N56" s="283"/>
      <c r="O56" s="284"/>
      <c r="P56" s="284">
        <v>20.6</v>
      </c>
      <c r="Q56" s="283">
        <f t="shared" si="5"/>
        <v>0</v>
      </c>
      <c r="R56" s="282">
        <f t="shared" si="3"/>
        <v>0</v>
      </c>
      <c r="S56" s="283">
        <f t="shared" si="4"/>
        <v>20.6</v>
      </c>
      <c r="T56" s="283">
        <f t="shared" si="1"/>
        <v>20.6</v>
      </c>
      <c r="U56" s="283"/>
    </row>
    <row r="57" spans="1:21">
      <c r="A57" s="271"/>
      <c r="B57" s="378" t="str">
        <f>'Розшифровка кап'!A57</f>
        <v>вітрина холодильна "FROST STREAM"</v>
      </c>
      <c r="C57" s="379"/>
      <c r="D57" s="380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4"/>
      <c r="P57" s="284">
        <v>8.3000000000000007</v>
      </c>
      <c r="Q57" s="283">
        <f t="shared" si="5"/>
        <v>0</v>
      </c>
      <c r="R57" s="282">
        <f t="shared" si="3"/>
        <v>0</v>
      </c>
      <c r="S57" s="283">
        <f t="shared" si="4"/>
        <v>8.3000000000000007</v>
      </c>
      <c r="T57" s="283">
        <f t="shared" si="1"/>
        <v>8.3000000000000007</v>
      </c>
      <c r="U57" s="283"/>
    </row>
    <row r="58" spans="1:21">
      <c r="A58" s="271"/>
      <c r="B58" s="378" t="str">
        <f>'Розшифровка кап'!A58</f>
        <v xml:space="preserve">системний блок </v>
      </c>
      <c r="C58" s="379"/>
      <c r="D58" s="380"/>
      <c r="E58" s="283"/>
      <c r="F58" s="283"/>
      <c r="G58" s="283"/>
      <c r="H58" s="283"/>
      <c r="I58" s="283"/>
      <c r="J58" s="283"/>
      <c r="K58" s="283"/>
      <c r="L58" s="283"/>
      <c r="M58" s="283"/>
      <c r="N58" s="283">
        <v>13.2</v>
      </c>
      <c r="O58" s="284"/>
      <c r="P58" s="284">
        <v>7.2</v>
      </c>
      <c r="Q58" s="283">
        <v>13.2</v>
      </c>
      <c r="R58" s="282">
        <f t="shared" si="3"/>
        <v>0</v>
      </c>
      <c r="S58" s="283">
        <f t="shared" si="4"/>
        <v>7.2</v>
      </c>
      <c r="T58" s="283">
        <f t="shared" si="1"/>
        <v>7.2</v>
      </c>
      <c r="U58" s="283"/>
    </row>
    <row r="59" spans="1:21">
      <c r="A59" s="271"/>
      <c r="B59" s="378" t="str">
        <f>'Розшифровка кап'!A59</f>
        <v>термостат сухоповітряний ТС -80</v>
      </c>
      <c r="C59" s="379"/>
      <c r="D59" s="380"/>
      <c r="E59" s="283"/>
      <c r="F59" s="283"/>
      <c r="G59" s="283"/>
      <c r="H59" s="283"/>
      <c r="I59" s="283"/>
      <c r="J59" s="283">
        <v>17.2</v>
      </c>
      <c r="K59" s="283"/>
      <c r="L59" s="283"/>
      <c r="M59" s="283"/>
      <c r="N59" s="283"/>
      <c r="O59" s="284"/>
      <c r="P59" s="284"/>
      <c r="Q59" s="283">
        <f t="shared" si="5"/>
        <v>0</v>
      </c>
      <c r="R59" s="282">
        <f t="shared" si="3"/>
        <v>0</v>
      </c>
      <c r="S59" s="283">
        <f t="shared" si="4"/>
        <v>17.2</v>
      </c>
      <c r="T59" s="283">
        <f t="shared" si="1"/>
        <v>17.2</v>
      </c>
      <c r="U59" s="283"/>
    </row>
    <row r="60" spans="1:21">
      <c r="A60" s="271"/>
      <c r="B60" s="378" t="str">
        <f>'Розшифровка кап'!A60</f>
        <v>аквадистилятор електричний ДЄ-25М</v>
      </c>
      <c r="C60" s="379"/>
      <c r="D60" s="380"/>
      <c r="E60" s="283"/>
      <c r="F60" s="283"/>
      <c r="G60" s="283"/>
      <c r="H60" s="283"/>
      <c r="I60" s="283"/>
      <c r="J60" s="283">
        <v>16.100000000000001</v>
      </c>
      <c r="K60" s="283"/>
      <c r="L60" s="283"/>
      <c r="M60" s="283"/>
      <c r="N60" s="283"/>
      <c r="O60" s="284"/>
      <c r="P60" s="284"/>
      <c r="Q60" s="283">
        <f t="shared" si="5"/>
        <v>0</v>
      </c>
      <c r="R60" s="282">
        <f t="shared" si="3"/>
        <v>0</v>
      </c>
      <c r="S60" s="283">
        <f t="shared" si="4"/>
        <v>16.100000000000001</v>
      </c>
      <c r="T60" s="283">
        <f t="shared" si="1"/>
        <v>16.100000000000001</v>
      </c>
      <c r="U60" s="283"/>
    </row>
    <row r="61" spans="1:21">
      <c r="A61" s="271"/>
      <c r="B61" s="378" t="str">
        <f>'Розшифровка кап'!A61</f>
        <v>плита електрична секційна ПЕ-6</v>
      </c>
      <c r="C61" s="379"/>
      <c r="D61" s="380"/>
      <c r="E61" s="283"/>
      <c r="F61" s="283"/>
      <c r="G61" s="283"/>
      <c r="H61" s="283"/>
      <c r="I61" s="283"/>
      <c r="J61" s="283">
        <v>14.1</v>
      </c>
      <c r="K61" s="283"/>
      <c r="L61" s="283"/>
      <c r="M61" s="283"/>
      <c r="N61" s="283"/>
      <c r="O61" s="284"/>
      <c r="P61" s="284"/>
      <c r="Q61" s="283">
        <f t="shared" si="5"/>
        <v>0</v>
      </c>
      <c r="R61" s="282">
        <f t="shared" si="3"/>
        <v>0</v>
      </c>
      <c r="S61" s="283">
        <f t="shared" si="4"/>
        <v>14.1</v>
      </c>
      <c r="T61" s="283">
        <f t="shared" si="1"/>
        <v>14.1</v>
      </c>
      <c r="U61" s="283"/>
    </row>
    <row r="62" spans="1:21" ht="48" customHeight="1">
      <c r="A62" s="271"/>
      <c r="B62" s="378" t="str">
        <f>'Розшифровка кап'!A62</f>
        <v>мийка виробнича 1700*840*850глиб 400 мм (2 Шт)</v>
      </c>
      <c r="C62" s="379"/>
      <c r="D62" s="380"/>
      <c r="E62" s="283"/>
      <c r="F62" s="283"/>
      <c r="G62" s="283"/>
      <c r="H62" s="283"/>
      <c r="I62" s="283"/>
      <c r="J62" s="283">
        <v>14.9</v>
      </c>
      <c r="K62" s="283"/>
      <c r="L62" s="283"/>
      <c r="M62" s="283"/>
      <c r="N62" s="283"/>
      <c r="O62" s="284"/>
      <c r="P62" s="284"/>
      <c r="Q62" s="283">
        <f t="shared" si="5"/>
        <v>0</v>
      </c>
      <c r="R62" s="282">
        <f t="shared" si="3"/>
        <v>0</v>
      </c>
      <c r="S62" s="283">
        <f t="shared" si="4"/>
        <v>14.9</v>
      </c>
      <c r="T62" s="283">
        <f t="shared" si="1"/>
        <v>14.9</v>
      </c>
      <c r="U62" s="283"/>
    </row>
    <row r="63" spans="1:21" ht="44.25" customHeight="1">
      <c r="A63" s="271"/>
      <c r="B63" s="378" t="str">
        <f>'Розшифровка кап'!A63</f>
        <v>шафа холодильна вітринна 650*710*2100 П-390С (2 шт)</v>
      </c>
      <c r="C63" s="379"/>
      <c r="D63" s="380"/>
      <c r="E63" s="283"/>
      <c r="F63" s="283"/>
      <c r="G63" s="283"/>
      <c r="H63" s="283"/>
      <c r="I63" s="283"/>
      <c r="J63" s="283">
        <v>47.6</v>
      </c>
      <c r="K63" s="283"/>
      <c r="L63" s="283"/>
      <c r="M63" s="283"/>
      <c r="N63" s="283"/>
      <c r="O63" s="284"/>
      <c r="P63" s="284"/>
      <c r="Q63" s="283">
        <f t="shared" si="5"/>
        <v>0</v>
      </c>
      <c r="R63" s="282">
        <f t="shared" si="3"/>
        <v>0</v>
      </c>
      <c r="S63" s="283">
        <f t="shared" si="4"/>
        <v>47.6</v>
      </c>
      <c r="T63" s="283">
        <f t="shared" si="1"/>
        <v>47.6</v>
      </c>
      <c r="U63" s="283"/>
    </row>
    <row r="64" spans="1:21" ht="48" customHeight="1">
      <c r="A64" s="271"/>
      <c r="B64" s="378" t="str">
        <f>'Розшифровка кап'!A64</f>
        <v>світильник операційний L735-ІІ 5-ти рефлекторний</v>
      </c>
      <c r="C64" s="379"/>
      <c r="D64" s="380"/>
      <c r="E64" s="283"/>
      <c r="F64" s="283"/>
      <c r="G64" s="283"/>
      <c r="H64" s="283"/>
      <c r="I64" s="283"/>
      <c r="J64" s="283"/>
      <c r="K64" s="283"/>
      <c r="L64" s="283"/>
      <c r="M64" s="283"/>
      <c r="N64" s="283"/>
      <c r="O64" s="284"/>
      <c r="P64" s="284">
        <v>18</v>
      </c>
      <c r="Q64" s="283">
        <f t="shared" si="5"/>
        <v>0</v>
      </c>
      <c r="R64" s="282">
        <f t="shared" si="3"/>
        <v>0</v>
      </c>
      <c r="S64" s="283">
        <f t="shared" si="4"/>
        <v>18</v>
      </c>
      <c r="T64" s="283">
        <f t="shared" si="1"/>
        <v>18</v>
      </c>
      <c r="U64" s="283"/>
    </row>
    <row r="65" spans="1:21">
      <c r="A65" s="271"/>
      <c r="B65" s="378" t="str">
        <f>'Розшифровка кап'!A66</f>
        <v xml:space="preserve">монітор LG 1734S               </v>
      </c>
      <c r="C65" s="379"/>
      <c r="D65" s="380"/>
      <c r="E65" s="283"/>
      <c r="F65" s="283"/>
      <c r="G65" s="283"/>
      <c r="H65" s="283"/>
      <c r="I65" s="283"/>
      <c r="J65" s="283"/>
      <c r="K65" s="283"/>
      <c r="L65" s="283"/>
      <c r="M65" s="283"/>
      <c r="N65" s="283">
        <v>1</v>
      </c>
      <c r="O65" s="284"/>
      <c r="P65" s="284"/>
      <c r="Q65" s="283">
        <v>1</v>
      </c>
      <c r="R65" s="282">
        <f t="shared" si="3"/>
        <v>0</v>
      </c>
      <c r="S65" s="283">
        <f t="shared" si="4"/>
        <v>0</v>
      </c>
      <c r="T65" s="283">
        <f t="shared" si="1"/>
        <v>0</v>
      </c>
      <c r="U65" s="283"/>
    </row>
    <row r="66" spans="1:21">
      <c r="A66" s="271"/>
      <c r="B66" s="378" t="str">
        <f>'Розшифровка кап'!A67</f>
        <v>багатофункціональний пристрій (2 шт)</v>
      </c>
      <c r="C66" s="379"/>
      <c r="D66" s="380"/>
      <c r="E66" s="283"/>
      <c r="F66" s="283"/>
      <c r="G66" s="283"/>
      <c r="H66" s="283"/>
      <c r="I66" s="283"/>
      <c r="J66" s="283"/>
      <c r="K66" s="283"/>
      <c r="L66" s="283"/>
      <c r="M66" s="283"/>
      <c r="N66" s="283">
        <v>14.5</v>
      </c>
      <c r="O66" s="284"/>
      <c r="P66" s="284"/>
      <c r="Q66" s="283">
        <v>14.5</v>
      </c>
      <c r="R66" s="282">
        <f t="shared" si="3"/>
        <v>0</v>
      </c>
      <c r="S66" s="283">
        <f t="shared" si="4"/>
        <v>0</v>
      </c>
      <c r="T66" s="283">
        <f t="shared" si="1"/>
        <v>0</v>
      </c>
      <c r="U66" s="283"/>
    </row>
    <row r="67" spans="1:21">
      <c r="A67" s="271"/>
      <c r="B67" s="311" t="s">
        <v>242</v>
      </c>
      <c r="C67" s="312"/>
      <c r="D67" s="313"/>
      <c r="E67" s="283"/>
      <c r="F67" s="283"/>
      <c r="G67" s="283"/>
      <c r="H67" s="283"/>
      <c r="I67" s="283"/>
      <c r="J67" s="283"/>
      <c r="K67" s="283">
        <v>14</v>
      </c>
      <c r="L67" s="283"/>
      <c r="M67" s="283"/>
      <c r="N67" s="283"/>
      <c r="O67" s="284"/>
      <c r="P67" s="284"/>
      <c r="Q67" s="283">
        <v>14</v>
      </c>
      <c r="R67" s="282"/>
      <c r="S67" s="283"/>
      <c r="T67" s="283"/>
      <c r="U67" s="283"/>
    </row>
    <row r="68" spans="1:21" ht="48" customHeight="1">
      <c r="A68" s="271"/>
      <c r="B68" s="378" t="str">
        <f>'Розшифровка кап'!A68</f>
        <v>харчоблок (вул. Хмельницьке шосе, 96)   (будівля)</v>
      </c>
      <c r="C68" s="379"/>
      <c r="D68" s="380"/>
      <c r="E68" s="283"/>
      <c r="F68" s="283"/>
      <c r="G68" s="283"/>
      <c r="H68" s="283"/>
      <c r="I68" s="283"/>
      <c r="J68" s="283"/>
      <c r="K68" s="283"/>
      <c r="L68" s="283"/>
      <c r="M68" s="283"/>
      <c r="N68" s="283">
        <v>170.9</v>
      </c>
      <c r="O68" s="284"/>
      <c r="P68" s="284"/>
      <c r="Q68" s="283">
        <v>170.9</v>
      </c>
      <c r="R68" s="282">
        <f t="shared" si="3"/>
        <v>0</v>
      </c>
      <c r="S68" s="283">
        <f t="shared" si="4"/>
        <v>0</v>
      </c>
      <c r="T68" s="283">
        <f t="shared" si="1"/>
        <v>0</v>
      </c>
      <c r="U68" s="283"/>
    </row>
    <row r="69" spans="1:21" ht="64.5" customHeight="1">
      <c r="A69" s="290" t="s">
        <v>149</v>
      </c>
      <c r="B69" s="392" t="s">
        <v>662</v>
      </c>
      <c r="C69" s="393"/>
      <c r="D69" s="394"/>
      <c r="E69" s="282"/>
      <c r="F69" s="282">
        <f t="shared" ref="F69:S69" si="6">SUM(F70:F175)</f>
        <v>0</v>
      </c>
      <c r="G69" s="282">
        <f t="shared" si="6"/>
        <v>0</v>
      </c>
      <c r="H69" s="282">
        <f t="shared" si="6"/>
        <v>328.2</v>
      </c>
      <c r="I69" s="282">
        <f t="shared" si="6"/>
        <v>266.8</v>
      </c>
      <c r="J69" s="282">
        <f t="shared" si="6"/>
        <v>447.9</v>
      </c>
      <c r="K69" s="282">
        <f t="shared" si="6"/>
        <v>63.099999999999987</v>
      </c>
      <c r="L69" s="282">
        <f t="shared" si="6"/>
        <v>266</v>
      </c>
      <c r="M69" s="282">
        <f t="shared" si="6"/>
        <v>127.6</v>
      </c>
      <c r="N69" s="282">
        <f t="shared" si="6"/>
        <v>39.1</v>
      </c>
      <c r="O69" s="282">
        <f t="shared" si="6"/>
        <v>0</v>
      </c>
      <c r="P69" s="282">
        <f t="shared" si="6"/>
        <v>413.2000000000001</v>
      </c>
      <c r="Q69" s="282">
        <f t="shared" si="6"/>
        <v>430.40000000000009</v>
      </c>
      <c r="R69" s="282">
        <f t="shared" si="6"/>
        <v>532.79999999999995</v>
      </c>
      <c r="S69" s="282">
        <f t="shared" si="6"/>
        <v>988.69999999999959</v>
      </c>
      <c r="T69" s="282">
        <f t="shared" ref="T69:T130" si="7">S69-R69</f>
        <v>455.89999999999964</v>
      </c>
      <c r="U69" s="282">
        <f t="shared" ref="U69:U71" si="8">(S69/R69)*100</f>
        <v>185.56681681681675</v>
      </c>
    </row>
    <row r="70" spans="1:21" ht="88.5" customHeight="1">
      <c r="A70" s="271"/>
      <c r="B70" s="378" t="str">
        <f>'Розшифровка кап'!A70</f>
        <v>придбання персональних комп'ютерів та оргтехніки(у 2019 році- комп'ютерів 27шт, принтерів18 шт.; у 2020 році- 22 комп'ютера, 25 принтерів)</v>
      </c>
      <c r="C70" s="379"/>
      <c r="D70" s="380"/>
      <c r="E70" s="283"/>
      <c r="F70" s="283"/>
      <c r="G70" s="283"/>
      <c r="H70" s="283">
        <v>324.7</v>
      </c>
      <c r="I70" s="283">
        <v>266.8</v>
      </c>
      <c r="J70" s="283">
        <v>258.8</v>
      </c>
      <c r="K70" s="283"/>
      <c r="L70" s="283"/>
      <c r="M70" s="283"/>
      <c r="N70" s="283"/>
      <c r="O70" s="284"/>
      <c r="P70" s="284"/>
      <c r="Q70" s="283">
        <f>E70+H70+K70+N70</f>
        <v>324.7</v>
      </c>
      <c r="R70" s="283">
        <f t="shared" ref="R70:R130" si="9">F70+I70+L70+O70</f>
        <v>266.8</v>
      </c>
      <c r="S70" s="283">
        <f t="shared" ref="S70:S130" si="10">G70+J70+M70+P70</f>
        <v>258.8</v>
      </c>
      <c r="T70" s="283">
        <f t="shared" si="7"/>
        <v>-8</v>
      </c>
      <c r="U70" s="283">
        <f t="shared" si="8"/>
        <v>97.001499250374806</v>
      </c>
    </row>
    <row r="71" spans="1:21">
      <c r="A71" s="271"/>
      <c r="B71" s="378" t="str">
        <f>'Розшифровка кап'!A71</f>
        <v>меблі</v>
      </c>
      <c r="C71" s="379"/>
      <c r="D71" s="380"/>
      <c r="E71" s="283"/>
      <c r="F71" s="283"/>
      <c r="G71" s="283"/>
      <c r="H71" s="283"/>
      <c r="I71" s="283"/>
      <c r="J71" s="283"/>
      <c r="K71" s="283"/>
      <c r="L71" s="283">
        <v>266</v>
      </c>
      <c r="M71" s="283"/>
      <c r="N71" s="283"/>
      <c r="O71" s="284"/>
      <c r="P71" s="284"/>
      <c r="Q71" s="283">
        <f t="shared" ref="Q71:Q134" si="11">E71+H71+K71+N71</f>
        <v>0</v>
      </c>
      <c r="R71" s="283">
        <f t="shared" si="9"/>
        <v>266</v>
      </c>
      <c r="S71" s="283">
        <f t="shared" si="10"/>
        <v>0</v>
      </c>
      <c r="T71" s="283">
        <f t="shared" si="7"/>
        <v>-266</v>
      </c>
      <c r="U71" s="283">
        <f t="shared" si="8"/>
        <v>0</v>
      </c>
    </row>
    <row r="72" spans="1:21">
      <c r="A72" s="271"/>
      <c r="B72" s="378" t="str">
        <f>'Розшифровка кап'!A75</f>
        <v>вогнегасники</v>
      </c>
      <c r="C72" s="379"/>
      <c r="D72" s="380"/>
      <c r="E72" s="283"/>
      <c r="F72" s="283"/>
      <c r="G72" s="283"/>
      <c r="H72" s="283">
        <v>2.5</v>
      </c>
      <c r="I72" s="283"/>
      <c r="J72" s="283"/>
      <c r="K72" s="283"/>
      <c r="L72" s="283"/>
      <c r="M72" s="283"/>
      <c r="N72" s="283"/>
      <c r="O72" s="284"/>
      <c r="P72" s="284"/>
      <c r="Q72" s="283">
        <f t="shared" si="11"/>
        <v>2.5</v>
      </c>
      <c r="R72" s="282">
        <f t="shared" si="9"/>
        <v>0</v>
      </c>
      <c r="S72" s="283">
        <f t="shared" si="10"/>
        <v>0</v>
      </c>
      <c r="T72" s="283">
        <f t="shared" si="7"/>
        <v>0</v>
      </c>
      <c r="U72" s="283"/>
    </row>
    <row r="73" spans="1:21">
      <c r="A73" s="271"/>
      <c r="B73" s="311" t="s">
        <v>640</v>
      </c>
      <c r="C73" s="312"/>
      <c r="D73" s="313"/>
      <c r="E73" s="283"/>
      <c r="F73" s="283"/>
      <c r="G73" s="283"/>
      <c r="H73" s="283">
        <v>1</v>
      </c>
      <c r="I73" s="283"/>
      <c r="J73" s="283"/>
      <c r="K73" s="283"/>
      <c r="L73" s="283"/>
      <c r="M73" s="283"/>
      <c r="N73" s="283"/>
      <c r="O73" s="284"/>
      <c r="P73" s="284"/>
      <c r="Q73" s="283">
        <f t="shared" si="11"/>
        <v>1</v>
      </c>
      <c r="R73" s="282">
        <f t="shared" si="9"/>
        <v>0</v>
      </c>
      <c r="S73" s="283">
        <f t="shared" si="10"/>
        <v>0</v>
      </c>
      <c r="T73" s="283">
        <f t="shared" si="7"/>
        <v>0</v>
      </c>
      <c r="U73" s="283"/>
    </row>
    <row r="74" spans="1:21">
      <c r="A74" s="271"/>
      <c r="B74" s="378" t="str">
        <f>'Розшифровка кап'!A77</f>
        <v>жалюзі вертикальні (5 шт)</v>
      </c>
      <c r="C74" s="379"/>
      <c r="D74" s="380"/>
      <c r="E74" s="283"/>
      <c r="F74" s="283"/>
      <c r="G74" s="283"/>
      <c r="H74" s="283"/>
      <c r="I74" s="283"/>
      <c r="J74" s="283">
        <v>6.6</v>
      </c>
      <c r="K74" s="283"/>
      <c r="L74" s="283"/>
      <c r="M74" s="283"/>
      <c r="N74" s="283">
        <v>1.3</v>
      </c>
      <c r="O74" s="284"/>
      <c r="P74" s="284"/>
      <c r="Q74" s="283">
        <f t="shared" si="11"/>
        <v>1.3</v>
      </c>
      <c r="R74" s="282">
        <f t="shared" si="9"/>
        <v>0</v>
      </c>
      <c r="S74" s="283">
        <f t="shared" si="10"/>
        <v>6.6</v>
      </c>
      <c r="T74" s="283">
        <f t="shared" si="7"/>
        <v>6.6</v>
      </c>
      <c r="U74" s="283"/>
    </row>
    <row r="75" spans="1:21">
      <c r="A75" s="271"/>
      <c r="B75" s="378" t="str">
        <f>'Розшифровка кап'!A78</f>
        <v>ролети тканеві (12 шт)</v>
      </c>
      <c r="C75" s="379"/>
      <c r="D75" s="380"/>
      <c r="E75" s="283"/>
      <c r="F75" s="283"/>
      <c r="G75" s="283"/>
      <c r="H75" s="283"/>
      <c r="I75" s="283"/>
      <c r="J75" s="283">
        <v>4.4000000000000004</v>
      </c>
      <c r="K75" s="283"/>
      <c r="L75" s="283"/>
      <c r="M75" s="283"/>
      <c r="N75" s="283"/>
      <c r="O75" s="284"/>
      <c r="P75" s="284"/>
      <c r="Q75" s="283">
        <f t="shared" si="11"/>
        <v>0</v>
      </c>
      <c r="R75" s="282">
        <f t="shared" si="9"/>
        <v>0</v>
      </c>
      <c r="S75" s="283">
        <f t="shared" si="10"/>
        <v>4.4000000000000004</v>
      </c>
      <c r="T75" s="283">
        <f t="shared" si="7"/>
        <v>4.4000000000000004</v>
      </c>
      <c r="U75" s="283"/>
    </row>
    <row r="76" spans="1:21">
      <c r="A76" s="271"/>
      <c r="B76" s="378" t="str">
        <f>'Розшифровка кап'!A79</f>
        <v>візок для перевезення їжі</v>
      </c>
      <c r="C76" s="379"/>
      <c r="D76" s="380"/>
      <c r="E76" s="283"/>
      <c r="F76" s="283"/>
      <c r="G76" s="283"/>
      <c r="H76" s="283"/>
      <c r="I76" s="283"/>
      <c r="J76" s="283">
        <v>4.2</v>
      </c>
      <c r="K76" s="283"/>
      <c r="L76" s="283"/>
      <c r="M76" s="283"/>
      <c r="N76" s="283"/>
      <c r="O76" s="284"/>
      <c r="P76" s="284"/>
      <c r="Q76" s="283">
        <f t="shared" si="11"/>
        <v>0</v>
      </c>
      <c r="R76" s="282">
        <f t="shared" si="9"/>
        <v>0</v>
      </c>
      <c r="S76" s="283">
        <f t="shared" si="10"/>
        <v>4.2</v>
      </c>
      <c r="T76" s="283">
        <f t="shared" si="7"/>
        <v>4.2</v>
      </c>
      <c r="U76" s="283"/>
    </row>
    <row r="77" spans="1:21">
      <c r="A77" s="271"/>
      <c r="B77" s="378" t="str">
        <f>'Розшифровка кап'!A80</f>
        <v>стілець (25 шт)</v>
      </c>
      <c r="C77" s="379"/>
      <c r="D77" s="380"/>
      <c r="E77" s="283"/>
      <c r="F77" s="283"/>
      <c r="G77" s="283"/>
      <c r="H77" s="283"/>
      <c r="I77" s="283"/>
      <c r="J77" s="283">
        <v>12.4</v>
      </c>
      <c r="K77" s="283"/>
      <c r="L77" s="283"/>
      <c r="M77" s="283"/>
      <c r="N77" s="283"/>
      <c r="O77" s="284"/>
      <c r="P77" s="284"/>
      <c r="Q77" s="283">
        <f t="shared" si="11"/>
        <v>0</v>
      </c>
      <c r="R77" s="282">
        <f t="shared" si="9"/>
        <v>0</v>
      </c>
      <c r="S77" s="283">
        <f t="shared" si="10"/>
        <v>12.4</v>
      </c>
      <c r="T77" s="283">
        <f t="shared" si="7"/>
        <v>12.4</v>
      </c>
      <c r="U77" s="283"/>
    </row>
    <row r="78" spans="1:21">
      <c r="A78" s="271"/>
      <c r="B78" s="378" t="str">
        <f>'Розшифровка кап'!A81</f>
        <v>крісло</v>
      </c>
      <c r="C78" s="379"/>
      <c r="D78" s="380"/>
      <c r="E78" s="283"/>
      <c r="F78" s="283"/>
      <c r="G78" s="283"/>
      <c r="H78" s="283"/>
      <c r="I78" s="283"/>
      <c r="J78" s="283">
        <v>2</v>
      </c>
      <c r="K78" s="283"/>
      <c r="L78" s="283"/>
      <c r="M78" s="283"/>
      <c r="N78" s="283"/>
      <c r="O78" s="284"/>
      <c r="P78" s="284"/>
      <c r="Q78" s="283">
        <f t="shared" si="11"/>
        <v>0</v>
      </c>
      <c r="R78" s="282">
        <f t="shared" si="9"/>
        <v>0</v>
      </c>
      <c r="S78" s="283">
        <f t="shared" si="10"/>
        <v>2</v>
      </c>
      <c r="T78" s="283">
        <f t="shared" si="7"/>
        <v>2</v>
      </c>
      <c r="U78" s="283"/>
    </row>
    <row r="79" spans="1:21">
      <c r="A79" s="271"/>
      <c r="B79" s="378" t="str">
        <f>'Розшифровка кап'!A82</f>
        <v>стіл з полицями та надбудовою (7 шт)</v>
      </c>
      <c r="C79" s="379"/>
      <c r="D79" s="380"/>
      <c r="E79" s="283"/>
      <c r="F79" s="283"/>
      <c r="G79" s="283"/>
      <c r="H79" s="283"/>
      <c r="I79" s="283"/>
      <c r="J79" s="283">
        <v>37.299999999999997</v>
      </c>
      <c r="K79" s="283"/>
      <c r="L79" s="283"/>
      <c r="M79" s="283"/>
      <c r="N79" s="283"/>
      <c r="O79" s="284"/>
      <c r="P79" s="284"/>
      <c r="Q79" s="283">
        <f t="shared" si="11"/>
        <v>0</v>
      </c>
      <c r="R79" s="282">
        <f t="shared" si="9"/>
        <v>0</v>
      </c>
      <c r="S79" s="283">
        <f t="shared" si="10"/>
        <v>37.299999999999997</v>
      </c>
      <c r="T79" s="283">
        <f t="shared" si="7"/>
        <v>37.299999999999997</v>
      </c>
      <c r="U79" s="283"/>
    </row>
    <row r="80" spans="1:21">
      <c r="A80" s="271"/>
      <c r="B80" s="378" t="str">
        <f>'Розшифровка кап'!A83</f>
        <v>стіл з бортом пристінний (5 шт)</v>
      </c>
      <c r="C80" s="379"/>
      <c r="D80" s="380"/>
      <c r="E80" s="283"/>
      <c r="F80" s="283"/>
      <c r="G80" s="283"/>
      <c r="H80" s="283"/>
      <c r="I80" s="283"/>
      <c r="J80" s="283">
        <v>7.7</v>
      </c>
      <c r="K80" s="283"/>
      <c r="L80" s="283"/>
      <c r="M80" s="283"/>
      <c r="N80" s="283"/>
      <c r="O80" s="284"/>
      <c r="P80" s="284"/>
      <c r="Q80" s="283">
        <f t="shared" si="11"/>
        <v>0</v>
      </c>
      <c r="R80" s="282">
        <f t="shared" si="9"/>
        <v>0</v>
      </c>
      <c r="S80" s="283">
        <f t="shared" si="10"/>
        <v>7.7</v>
      </c>
      <c r="T80" s="283">
        <f t="shared" si="7"/>
        <v>7.7</v>
      </c>
      <c r="U80" s="283"/>
    </row>
    <row r="81" spans="1:21">
      <c r="A81" s="271"/>
      <c r="B81" s="311" t="s">
        <v>667</v>
      </c>
      <c r="C81" s="312"/>
      <c r="D81" s="313"/>
      <c r="E81" s="283"/>
      <c r="F81" s="283"/>
      <c r="G81" s="283"/>
      <c r="H81" s="283"/>
      <c r="I81" s="283"/>
      <c r="J81" s="283"/>
      <c r="K81" s="283">
        <v>4.5999999999999996</v>
      </c>
      <c r="L81" s="283"/>
      <c r="M81" s="283"/>
      <c r="N81" s="283"/>
      <c r="O81" s="284"/>
      <c r="P81" s="284"/>
      <c r="Q81" s="283">
        <f t="shared" si="11"/>
        <v>4.5999999999999996</v>
      </c>
      <c r="R81" s="282"/>
      <c r="S81" s="283"/>
      <c r="T81" s="283"/>
      <c r="U81" s="283"/>
    </row>
    <row r="82" spans="1:21">
      <c r="A82" s="271"/>
      <c r="B82" s="378" t="str">
        <f>'Розшифровка кап'!A84</f>
        <v>стіл</v>
      </c>
      <c r="C82" s="379"/>
      <c r="D82" s="380"/>
      <c r="E82" s="283"/>
      <c r="F82" s="283"/>
      <c r="G82" s="283"/>
      <c r="H82" s="283"/>
      <c r="I82" s="283"/>
      <c r="J82" s="283">
        <v>1.1000000000000001</v>
      </c>
      <c r="K82" s="283"/>
      <c r="L82" s="283"/>
      <c r="M82" s="283"/>
      <c r="N82" s="283"/>
      <c r="O82" s="284"/>
      <c r="P82" s="284"/>
      <c r="Q82" s="283">
        <f t="shared" si="11"/>
        <v>0</v>
      </c>
      <c r="R82" s="282">
        <f t="shared" si="9"/>
        <v>0</v>
      </c>
      <c r="S82" s="283">
        <f t="shared" si="10"/>
        <v>1.1000000000000001</v>
      </c>
      <c r="T82" s="283">
        <f t="shared" si="7"/>
        <v>1.1000000000000001</v>
      </c>
      <c r="U82" s="283"/>
    </row>
    <row r="83" spans="1:21">
      <c r="A83" s="271"/>
      <c r="B83" s="378" t="str">
        <f>'Розшифровка кап'!A85</f>
        <v>посібник "Публічні закупівлі, практичні рішення та алгоритм проведення торгів"</v>
      </c>
      <c r="C83" s="379"/>
      <c r="D83" s="380"/>
      <c r="E83" s="283"/>
      <c r="F83" s="283"/>
      <c r="G83" s="283"/>
      <c r="H83" s="283"/>
      <c r="I83" s="283"/>
      <c r="J83" s="283"/>
      <c r="K83" s="283"/>
      <c r="L83" s="283"/>
      <c r="M83" s="283"/>
      <c r="N83" s="283"/>
      <c r="O83" s="284"/>
      <c r="P83" s="284">
        <v>0.6</v>
      </c>
      <c r="Q83" s="283">
        <f t="shared" si="11"/>
        <v>0</v>
      </c>
      <c r="R83" s="282">
        <f t="shared" si="9"/>
        <v>0</v>
      </c>
      <c r="S83" s="283">
        <f t="shared" si="10"/>
        <v>0.6</v>
      </c>
      <c r="T83" s="283">
        <f t="shared" si="7"/>
        <v>0.6</v>
      </c>
      <c r="U83" s="283"/>
    </row>
    <row r="84" spans="1:21">
      <c r="A84" s="271"/>
      <c r="B84" s="378" t="str">
        <f>'Розшифровка кап'!A86</f>
        <v>лічильник ЛС механічний (2 шт)</v>
      </c>
      <c r="C84" s="379"/>
      <c r="D84" s="380"/>
      <c r="E84" s="283"/>
      <c r="F84" s="283"/>
      <c r="G84" s="283"/>
      <c r="H84" s="283"/>
      <c r="I84" s="283"/>
      <c r="J84" s="283"/>
      <c r="K84" s="283"/>
      <c r="L84" s="283"/>
      <c r="M84" s="283"/>
      <c r="N84" s="283"/>
      <c r="O84" s="284"/>
      <c r="P84" s="284">
        <v>4.2</v>
      </c>
      <c r="Q84" s="283">
        <f t="shared" si="11"/>
        <v>0</v>
      </c>
      <c r="R84" s="282">
        <f t="shared" si="9"/>
        <v>0</v>
      </c>
      <c r="S84" s="283">
        <f t="shared" si="10"/>
        <v>4.2</v>
      </c>
      <c r="T84" s="283">
        <f t="shared" si="7"/>
        <v>4.2</v>
      </c>
      <c r="U84" s="283"/>
    </row>
    <row r="85" spans="1:21">
      <c r="A85" s="271"/>
      <c r="B85" s="378" t="str">
        <f>'Розшифровка кап'!A87</f>
        <v>ролети тканеві (33,78 м2)</v>
      </c>
      <c r="C85" s="379"/>
      <c r="D85" s="380"/>
      <c r="E85" s="283"/>
      <c r="F85" s="283"/>
      <c r="G85" s="283"/>
      <c r="H85" s="283"/>
      <c r="I85" s="283"/>
      <c r="J85" s="283"/>
      <c r="K85" s="283"/>
      <c r="L85" s="283"/>
      <c r="M85" s="283">
        <v>15.5</v>
      </c>
      <c r="N85" s="283"/>
      <c r="O85" s="284"/>
      <c r="P85" s="284"/>
      <c r="Q85" s="283">
        <f t="shared" si="11"/>
        <v>0</v>
      </c>
      <c r="R85" s="282">
        <f t="shared" si="9"/>
        <v>0</v>
      </c>
      <c r="S85" s="283">
        <f t="shared" si="10"/>
        <v>15.5</v>
      </c>
      <c r="T85" s="283">
        <f t="shared" si="7"/>
        <v>15.5</v>
      </c>
      <c r="U85" s="283"/>
    </row>
    <row r="86" spans="1:21">
      <c r="A86" s="271"/>
      <c r="B86" s="378" t="str">
        <f>'Розшифровка кап'!A88</f>
        <v>принтери (2 шт)</v>
      </c>
      <c r="C86" s="379"/>
      <c r="D86" s="380"/>
      <c r="E86" s="283"/>
      <c r="F86" s="283"/>
      <c r="G86" s="283"/>
      <c r="H86" s="283"/>
      <c r="I86" s="283"/>
      <c r="J86" s="283">
        <v>7.9</v>
      </c>
      <c r="K86" s="283"/>
      <c r="L86" s="283"/>
      <c r="M86" s="283"/>
      <c r="N86" s="283"/>
      <c r="O86" s="284"/>
      <c r="P86" s="284"/>
      <c r="Q86" s="283">
        <f t="shared" si="11"/>
        <v>0</v>
      </c>
      <c r="R86" s="282">
        <f t="shared" si="9"/>
        <v>0</v>
      </c>
      <c r="S86" s="283">
        <f t="shared" si="10"/>
        <v>7.9</v>
      </c>
      <c r="T86" s="283">
        <f t="shared" si="7"/>
        <v>7.9</v>
      </c>
      <c r="U86" s="283"/>
    </row>
    <row r="87" spans="1:21">
      <c r="A87" s="271"/>
      <c r="B87" s="378" t="str">
        <f>'Розшифровка кап'!A89</f>
        <v>мобільні телефони (3 шт)</v>
      </c>
      <c r="C87" s="379"/>
      <c r="D87" s="380"/>
      <c r="E87" s="283"/>
      <c r="F87" s="283"/>
      <c r="G87" s="283"/>
      <c r="H87" s="283"/>
      <c r="I87" s="283"/>
      <c r="J87" s="283"/>
      <c r="K87" s="283"/>
      <c r="L87" s="283"/>
      <c r="M87" s="283"/>
      <c r="N87" s="283"/>
      <c r="O87" s="284"/>
      <c r="P87" s="284">
        <v>1.1000000000000001</v>
      </c>
      <c r="Q87" s="283">
        <f t="shared" si="11"/>
        <v>0</v>
      </c>
      <c r="R87" s="282">
        <f t="shared" si="9"/>
        <v>0</v>
      </c>
      <c r="S87" s="283">
        <f t="shared" si="10"/>
        <v>1.1000000000000001</v>
      </c>
      <c r="T87" s="283">
        <f t="shared" si="7"/>
        <v>1.1000000000000001</v>
      </c>
      <c r="U87" s="283"/>
    </row>
    <row r="88" spans="1:21">
      <c r="A88" s="271"/>
      <c r="B88" s="378" t="str">
        <f>'Розшифровка кап'!A90</f>
        <v>халати (20 шт)</v>
      </c>
      <c r="C88" s="379"/>
      <c r="D88" s="380"/>
      <c r="E88" s="283"/>
      <c r="F88" s="283"/>
      <c r="G88" s="283"/>
      <c r="H88" s="283"/>
      <c r="I88" s="283"/>
      <c r="J88" s="283"/>
      <c r="K88" s="283"/>
      <c r="L88" s="283"/>
      <c r="M88" s="283"/>
      <c r="N88" s="283"/>
      <c r="O88" s="284"/>
      <c r="P88" s="284">
        <v>5</v>
      </c>
      <c r="Q88" s="283">
        <f t="shared" si="11"/>
        <v>0</v>
      </c>
      <c r="R88" s="282">
        <f t="shared" si="9"/>
        <v>0</v>
      </c>
      <c r="S88" s="283">
        <f t="shared" si="10"/>
        <v>5</v>
      </c>
      <c r="T88" s="283">
        <f t="shared" si="7"/>
        <v>5</v>
      </c>
      <c r="U88" s="283"/>
    </row>
    <row r="89" spans="1:21">
      <c r="A89" s="271"/>
      <c r="B89" s="378" t="str">
        <f>'Розшифровка кап'!A91</f>
        <v>комплекти постільної білизни (133 шт)</v>
      </c>
      <c r="C89" s="379"/>
      <c r="D89" s="380"/>
      <c r="E89" s="283"/>
      <c r="F89" s="283"/>
      <c r="G89" s="283"/>
      <c r="H89" s="283"/>
      <c r="I89" s="283"/>
      <c r="J89" s="283">
        <v>49.9</v>
      </c>
      <c r="K89" s="283"/>
      <c r="L89" s="283"/>
      <c r="M89" s="283"/>
      <c r="N89" s="283"/>
      <c r="O89" s="284"/>
      <c r="P89" s="284"/>
      <c r="Q89" s="283">
        <f t="shared" si="11"/>
        <v>0</v>
      </c>
      <c r="R89" s="282">
        <f t="shared" si="9"/>
        <v>0</v>
      </c>
      <c r="S89" s="283">
        <f t="shared" si="10"/>
        <v>49.9</v>
      </c>
      <c r="T89" s="283">
        <f t="shared" si="7"/>
        <v>49.9</v>
      </c>
      <c r="U89" s="283"/>
    </row>
    <row r="90" spans="1:21">
      <c r="A90" s="271"/>
      <c r="B90" s="378" t="str">
        <f>'Розшифровка кап'!A92</f>
        <v>ролап конструкція</v>
      </c>
      <c r="C90" s="379"/>
      <c r="D90" s="380"/>
      <c r="E90" s="283"/>
      <c r="F90" s="283"/>
      <c r="G90" s="283"/>
      <c r="H90" s="283"/>
      <c r="I90" s="283"/>
      <c r="J90" s="283"/>
      <c r="K90" s="283"/>
      <c r="L90" s="283"/>
      <c r="M90" s="283">
        <v>1.4</v>
      </c>
      <c r="N90" s="283"/>
      <c r="O90" s="284"/>
      <c r="P90" s="284"/>
      <c r="Q90" s="283">
        <f t="shared" si="11"/>
        <v>0</v>
      </c>
      <c r="R90" s="282">
        <f t="shared" si="9"/>
        <v>0</v>
      </c>
      <c r="S90" s="283">
        <f t="shared" si="10"/>
        <v>1.4</v>
      </c>
      <c r="T90" s="283">
        <f t="shared" si="7"/>
        <v>1.4</v>
      </c>
      <c r="U90" s="283"/>
    </row>
    <row r="91" spans="1:21">
      <c r="A91" s="271"/>
      <c r="B91" s="378" t="str">
        <f>'Розшифровка кап'!A93</f>
        <v>варочна поверхня</v>
      </c>
      <c r="C91" s="379"/>
      <c r="D91" s="380"/>
      <c r="E91" s="283"/>
      <c r="F91" s="283"/>
      <c r="G91" s="283"/>
      <c r="H91" s="283"/>
      <c r="I91" s="283"/>
      <c r="J91" s="283"/>
      <c r="K91" s="283"/>
      <c r="L91" s="283"/>
      <c r="M91" s="283"/>
      <c r="N91" s="283"/>
      <c r="O91" s="284"/>
      <c r="P91" s="284">
        <v>2.4</v>
      </c>
      <c r="Q91" s="283">
        <f t="shared" si="11"/>
        <v>0</v>
      </c>
      <c r="R91" s="282">
        <f t="shared" si="9"/>
        <v>0</v>
      </c>
      <c r="S91" s="283">
        <f t="shared" si="10"/>
        <v>2.4</v>
      </c>
      <c r="T91" s="283">
        <f t="shared" si="7"/>
        <v>2.4</v>
      </c>
      <c r="U91" s="283"/>
    </row>
    <row r="92" spans="1:21">
      <c r="A92" s="271"/>
      <c r="B92" s="378" t="str">
        <f>'Розшифровка кап'!A94</f>
        <v>крісло-ліжко</v>
      </c>
      <c r="C92" s="379"/>
      <c r="D92" s="380"/>
      <c r="E92" s="283"/>
      <c r="F92" s="283"/>
      <c r="G92" s="283"/>
      <c r="H92" s="283"/>
      <c r="I92" s="283"/>
      <c r="J92" s="283"/>
      <c r="K92" s="283"/>
      <c r="L92" s="283"/>
      <c r="M92" s="283">
        <v>4.5</v>
      </c>
      <c r="N92" s="283"/>
      <c r="O92" s="284"/>
      <c r="P92" s="284"/>
      <c r="Q92" s="283">
        <f t="shared" si="11"/>
        <v>0</v>
      </c>
      <c r="R92" s="282">
        <f t="shared" si="9"/>
        <v>0</v>
      </c>
      <c r="S92" s="283">
        <f t="shared" si="10"/>
        <v>4.5</v>
      </c>
      <c r="T92" s="283">
        <f t="shared" si="7"/>
        <v>4.5</v>
      </c>
      <c r="U92" s="283"/>
    </row>
    <row r="93" spans="1:21">
      <c r="A93" s="271"/>
      <c r="B93" s="378" t="str">
        <f>'Розшифровка кап'!A95</f>
        <v>набір навісних шаф</v>
      </c>
      <c r="C93" s="379"/>
      <c r="D93" s="380"/>
      <c r="E93" s="283"/>
      <c r="F93" s="283"/>
      <c r="G93" s="283"/>
      <c r="H93" s="283"/>
      <c r="I93" s="283"/>
      <c r="J93" s="283"/>
      <c r="K93" s="283"/>
      <c r="L93" s="283"/>
      <c r="M93" s="283">
        <v>5.2</v>
      </c>
      <c r="N93" s="283"/>
      <c r="O93" s="284"/>
      <c r="P93" s="284"/>
      <c r="Q93" s="283">
        <f t="shared" si="11"/>
        <v>0</v>
      </c>
      <c r="R93" s="282">
        <f t="shared" si="9"/>
        <v>0</v>
      </c>
      <c r="S93" s="283">
        <f t="shared" si="10"/>
        <v>5.2</v>
      </c>
      <c r="T93" s="283">
        <f t="shared" si="7"/>
        <v>5.2</v>
      </c>
      <c r="U93" s="283"/>
    </row>
    <row r="94" spans="1:21">
      <c r="A94" s="271"/>
      <c r="B94" s="378" t="str">
        <f>'Розшифровка кап'!A96</f>
        <v>столик універсальний (3 шт)</v>
      </c>
      <c r="C94" s="379"/>
      <c r="D94" s="380"/>
      <c r="E94" s="283"/>
      <c r="F94" s="283"/>
      <c r="G94" s="283"/>
      <c r="H94" s="283"/>
      <c r="I94" s="283"/>
      <c r="J94" s="283"/>
      <c r="K94" s="283"/>
      <c r="L94" s="283"/>
      <c r="M94" s="283">
        <v>12</v>
      </c>
      <c r="N94" s="283"/>
      <c r="O94" s="284"/>
      <c r="P94" s="284"/>
      <c r="Q94" s="283">
        <f t="shared" si="11"/>
        <v>0</v>
      </c>
      <c r="R94" s="282">
        <f t="shared" si="9"/>
        <v>0</v>
      </c>
      <c r="S94" s="283">
        <f t="shared" si="10"/>
        <v>12</v>
      </c>
      <c r="T94" s="283">
        <f t="shared" si="7"/>
        <v>12</v>
      </c>
      <c r="U94" s="283"/>
    </row>
    <row r="95" spans="1:21">
      <c r="A95" s="271"/>
      <c r="B95" s="378" t="str">
        <f>'Розшифровка кап'!A97</f>
        <v>столик</v>
      </c>
      <c r="C95" s="379"/>
      <c r="D95" s="380"/>
      <c r="E95" s="283"/>
      <c r="F95" s="283"/>
      <c r="G95" s="283"/>
      <c r="H95" s="283"/>
      <c r="I95" s="283"/>
      <c r="J95" s="283"/>
      <c r="K95" s="283"/>
      <c r="L95" s="283"/>
      <c r="M95" s="283">
        <v>2.9</v>
      </c>
      <c r="N95" s="283"/>
      <c r="O95" s="284"/>
      <c r="P95" s="284"/>
      <c r="Q95" s="283">
        <f t="shared" si="11"/>
        <v>0</v>
      </c>
      <c r="R95" s="282">
        <f t="shared" si="9"/>
        <v>0</v>
      </c>
      <c r="S95" s="283">
        <f t="shared" si="10"/>
        <v>2.9</v>
      </c>
      <c r="T95" s="283">
        <f t="shared" si="7"/>
        <v>2.9</v>
      </c>
      <c r="U95" s="283"/>
    </row>
    <row r="96" spans="1:21">
      <c r="A96" s="271"/>
      <c r="B96" s="378" t="str">
        <f>'Розшифровка кап'!A98</f>
        <v xml:space="preserve">крісло розкладне </v>
      </c>
      <c r="C96" s="379"/>
      <c r="D96" s="380"/>
      <c r="E96" s="283"/>
      <c r="F96" s="283"/>
      <c r="G96" s="283"/>
      <c r="H96" s="283"/>
      <c r="I96" s="283"/>
      <c r="J96" s="283"/>
      <c r="K96" s="283"/>
      <c r="L96" s="283"/>
      <c r="M96" s="283"/>
      <c r="N96" s="283"/>
      <c r="O96" s="284"/>
      <c r="P96" s="284">
        <v>4.2</v>
      </c>
      <c r="Q96" s="283">
        <f t="shared" si="11"/>
        <v>0</v>
      </c>
      <c r="R96" s="282">
        <f t="shared" si="9"/>
        <v>0</v>
      </c>
      <c r="S96" s="283">
        <f t="shared" si="10"/>
        <v>4.2</v>
      </c>
      <c r="T96" s="283">
        <f t="shared" si="7"/>
        <v>4.2</v>
      </c>
      <c r="U96" s="283"/>
    </row>
    <row r="97" spans="1:21">
      <c r="A97" s="271"/>
      <c r="B97" s="378" t="str">
        <f>'Розшифровка кап'!A99</f>
        <v>штатив ШТ-1</v>
      </c>
      <c r="C97" s="379"/>
      <c r="D97" s="380"/>
      <c r="E97" s="283"/>
      <c r="F97" s="283"/>
      <c r="G97" s="283"/>
      <c r="H97" s="283"/>
      <c r="I97" s="283"/>
      <c r="J97" s="283"/>
      <c r="K97" s="283"/>
      <c r="L97" s="283"/>
      <c r="M97" s="283">
        <v>0.5</v>
      </c>
      <c r="N97" s="283"/>
      <c r="O97" s="284"/>
      <c r="P97" s="284"/>
      <c r="Q97" s="283">
        <f t="shared" si="11"/>
        <v>0</v>
      </c>
      <c r="R97" s="282">
        <f t="shared" si="9"/>
        <v>0</v>
      </c>
      <c r="S97" s="283">
        <f t="shared" si="10"/>
        <v>0.5</v>
      </c>
      <c r="T97" s="283">
        <f t="shared" si="7"/>
        <v>0.5</v>
      </c>
      <c r="U97" s="283"/>
    </row>
    <row r="98" spans="1:21" ht="48" customHeight="1">
      <c r="A98" s="271"/>
      <c r="B98" s="378" t="str">
        <f>'Розшифровка кап'!A100</f>
        <v>опромінювач бактерицидний ОБН-75МЕ (23 шт)</v>
      </c>
      <c r="C98" s="379"/>
      <c r="D98" s="380"/>
      <c r="E98" s="283"/>
      <c r="F98" s="283"/>
      <c r="G98" s="283"/>
      <c r="H98" s="283"/>
      <c r="I98" s="283"/>
      <c r="J98" s="283">
        <v>24.6</v>
      </c>
      <c r="K98" s="283"/>
      <c r="L98" s="283"/>
      <c r="M98" s="283"/>
      <c r="N98" s="283"/>
      <c r="O98" s="284"/>
      <c r="P98" s="284"/>
      <c r="Q98" s="283">
        <f t="shared" si="11"/>
        <v>0</v>
      </c>
      <c r="R98" s="282">
        <f t="shared" si="9"/>
        <v>0</v>
      </c>
      <c r="S98" s="283">
        <f t="shared" si="10"/>
        <v>24.6</v>
      </c>
      <c r="T98" s="283">
        <f t="shared" si="7"/>
        <v>24.6</v>
      </c>
      <c r="U98" s="283"/>
    </row>
    <row r="99" spans="1:21">
      <c r="A99" s="271"/>
      <c r="B99" s="378" t="str">
        <f>'Розшифровка кап'!A101</f>
        <v>стійка для приладів СТП-1 (5 шт)</v>
      </c>
      <c r="C99" s="379"/>
      <c r="D99" s="380"/>
      <c r="E99" s="283"/>
      <c r="F99" s="283"/>
      <c r="G99" s="283"/>
      <c r="H99" s="283"/>
      <c r="I99" s="283"/>
      <c r="J99" s="283"/>
      <c r="K99" s="283"/>
      <c r="L99" s="283"/>
      <c r="M99" s="283">
        <v>18.399999999999999</v>
      </c>
      <c r="N99" s="283"/>
      <c r="O99" s="284"/>
      <c r="P99" s="284"/>
      <c r="Q99" s="283">
        <f t="shared" si="11"/>
        <v>0</v>
      </c>
      <c r="R99" s="282">
        <f t="shared" si="9"/>
        <v>0</v>
      </c>
      <c r="S99" s="283">
        <f t="shared" si="10"/>
        <v>18.399999999999999</v>
      </c>
      <c r="T99" s="283">
        <f t="shared" si="7"/>
        <v>18.399999999999999</v>
      </c>
      <c r="U99" s="283"/>
    </row>
    <row r="100" spans="1:21">
      <c r="A100" s="271"/>
      <c r="B100" s="378" t="str">
        <f>'Розшифровка кап'!A102</f>
        <v xml:space="preserve">контейнер для ТПВ з кришкою </v>
      </c>
      <c r="C100" s="379"/>
      <c r="D100" s="380"/>
      <c r="E100" s="283"/>
      <c r="F100" s="283"/>
      <c r="G100" s="283"/>
      <c r="H100" s="283"/>
      <c r="I100" s="283"/>
      <c r="J100" s="283"/>
      <c r="K100" s="283"/>
      <c r="L100" s="283"/>
      <c r="M100" s="283">
        <v>4.5</v>
      </c>
      <c r="N100" s="283"/>
      <c r="O100" s="284"/>
      <c r="P100" s="284"/>
      <c r="Q100" s="283">
        <f>E100+H100+K100+N100</f>
        <v>0</v>
      </c>
      <c r="R100" s="282">
        <f t="shared" si="9"/>
        <v>0</v>
      </c>
      <c r="S100" s="283">
        <f t="shared" si="10"/>
        <v>4.5</v>
      </c>
      <c r="T100" s="283">
        <f t="shared" si="7"/>
        <v>4.5</v>
      </c>
      <c r="U100" s="283"/>
    </row>
    <row r="101" spans="1:21">
      <c r="A101" s="271"/>
      <c r="B101" s="378" t="str">
        <f>'Розшифровка кап'!A103</f>
        <v>холодильник Grunhelm GRW-138DD</v>
      </c>
      <c r="C101" s="379"/>
      <c r="D101" s="380"/>
      <c r="E101" s="283"/>
      <c r="F101" s="283"/>
      <c r="G101" s="283"/>
      <c r="H101" s="283"/>
      <c r="I101" s="283"/>
      <c r="J101" s="283"/>
      <c r="K101" s="283"/>
      <c r="L101" s="283"/>
      <c r="M101" s="283">
        <v>4.3</v>
      </c>
      <c r="N101" s="283"/>
      <c r="O101" s="284"/>
      <c r="P101" s="284"/>
      <c r="Q101" s="283">
        <f t="shared" si="11"/>
        <v>0</v>
      </c>
      <c r="R101" s="282">
        <f t="shared" si="9"/>
        <v>0</v>
      </c>
      <c r="S101" s="283">
        <f t="shared" si="10"/>
        <v>4.3</v>
      </c>
      <c r="T101" s="283">
        <f t="shared" si="7"/>
        <v>4.3</v>
      </c>
      <c r="U101" s="283"/>
    </row>
    <row r="102" spans="1:21">
      <c r="A102" s="271"/>
      <c r="B102" s="378" t="str">
        <f>'Розшифровка кап'!A104</f>
        <v>столик для приладів СП-1 (2 шт)</v>
      </c>
      <c r="C102" s="379"/>
      <c r="D102" s="380"/>
      <c r="E102" s="283"/>
      <c r="F102" s="283"/>
      <c r="G102" s="283"/>
      <c r="H102" s="283"/>
      <c r="I102" s="283"/>
      <c r="J102" s="283"/>
      <c r="K102" s="283"/>
      <c r="L102" s="283"/>
      <c r="M102" s="283">
        <v>3.4</v>
      </c>
      <c r="N102" s="283"/>
      <c r="O102" s="284"/>
      <c r="P102" s="284"/>
      <c r="Q102" s="283">
        <f t="shared" si="11"/>
        <v>0</v>
      </c>
      <c r="R102" s="282">
        <f t="shared" si="9"/>
        <v>0</v>
      </c>
      <c r="S102" s="283">
        <f t="shared" si="10"/>
        <v>3.4</v>
      </c>
      <c r="T102" s="283">
        <f t="shared" si="7"/>
        <v>3.4</v>
      </c>
      <c r="U102" s="283"/>
    </row>
    <row r="103" spans="1:21">
      <c r="A103" s="271"/>
      <c r="B103" s="378" t="str">
        <f>'Розшифровка кап'!A105</f>
        <v>столик сповивальний ССп-2</v>
      </c>
      <c r="C103" s="379"/>
      <c r="D103" s="380"/>
      <c r="E103" s="283"/>
      <c r="F103" s="283"/>
      <c r="G103" s="283"/>
      <c r="H103" s="283"/>
      <c r="I103" s="283"/>
      <c r="J103" s="283"/>
      <c r="K103" s="283"/>
      <c r="L103" s="283"/>
      <c r="M103" s="283">
        <v>4.5999999999999996</v>
      </c>
      <c r="N103" s="283"/>
      <c r="O103" s="284"/>
      <c r="P103" s="284"/>
      <c r="Q103" s="283">
        <f t="shared" si="11"/>
        <v>0</v>
      </c>
      <c r="R103" s="282">
        <f t="shared" si="9"/>
        <v>0</v>
      </c>
      <c r="S103" s="283">
        <f t="shared" si="10"/>
        <v>4.5999999999999996</v>
      </c>
      <c r="T103" s="283">
        <f t="shared" si="7"/>
        <v>4.5999999999999996</v>
      </c>
      <c r="U103" s="283"/>
    </row>
    <row r="104" spans="1:21">
      <c r="A104" s="271"/>
      <c r="B104" s="378" t="str">
        <f>'Розшифровка кап'!A106</f>
        <v>столик маніпуляційний СМ-2 (2 шт)</v>
      </c>
      <c r="C104" s="379"/>
      <c r="D104" s="380"/>
      <c r="E104" s="283"/>
      <c r="F104" s="283"/>
      <c r="G104" s="283"/>
      <c r="H104" s="283"/>
      <c r="I104" s="283"/>
      <c r="J104" s="283"/>
      <c r="K104" s="283"/>
      <c r="L104" s="283"/>
      <c r="M104" s="283">
        <v>8.6999999999999993</v>
      </c>
      <c r="N104" s="283"/>
      <c r="O104" s="284"/>
      <c r="P104" s="284"/>
      <c r="Q104" s="283">
        <f t="shared" si="11"/>
        <v>0</v>
      </c>
      <c r="R104" s="282">
        <f t="shared" si="9"/>
        <v>0</v>
      </c>
      <c r="S104" s="283">
        <f t="shared" si="10"/>
        <v>8.6999999999999993</v>
      </c>
      <c r="T104" s="283">
        <f t="shared" si="7"/>
        <v>8.6999999999999993</v>
      </c>
      <c r="U104" s="283"/>
    </row>
    <row r="105" spans="1:21" ht="48" customHeight="1">
      <c r="A105" s="271"/>
      <c r="B105" s="378" t="str">
        <f>'Розшифровка кап'!A107</f>
        <v>стійка для шприцевих дозаторів СТШ-1 (5шт)</v>
      </c>
      <c r="C105" s="379"/>
      <c r="D105" s="380"/>
      <c r="E105" s="283"/>
      <c r="F105" s="283"/>
      <c r="G105" s="283"/>
      <c r="H105" s="283"/>
      <c r="I105" s="283"/>
      <c r="J105" s="283"/>
      <c r="K105" s="283"/>
      <c r="L105" s="283"/>
      <c r="M105" s="283">
        <v>13.2</v>
      </c>
      <c r="N105" s="283"/>
      <c r="O105" s="284"/>
      <c r="P105" s="284"/>
      <c r="Q105" s="283">
        <f t="shared" si="11"/>
        <v>0</v>
      </c>
      <c r="R105" s="282">
        <f t="shared" si="9"/>
        <v>0</v>
      </c>
      <c r="S105" s="283">
        <f t="shared" si="10"/>
        <v>13.2</v>
      </c>
      <c r="T105" s="283">
        <f t="shared" si="7"/>
        <v>13.2</v>
      </c>
      <c r="U105" s="283"/>
    </row>
    <row r="106" spans="1:21" ht="48" customHeight="1">
      <c r="A106" s="271"/>
      <c r="B106" s="378" t="str">
        <f>'Розшифровка кап'!A108</f>
        <v>столик маніпуляційний , столешниця з нержавіючої сталі СМ-4К</v>
      </c>
      <c r="C106" s="379"/>
      <c r="D106" s="380"/>
      <c r="E106" s="283"/>
      <c r="F106" s="283"/>
      <c r="G106" s="283"/>
      <c r="H106" s="283"/>
      <c r="I106" s="283"/>
      <c r="J106" s="283"/>
      <c r="K106" s="283"/>
      <c r="L106" s="283"/>
      <c r="M106" s="283">
        <v>5.7</v>
      </c>
      <c r="N106" s="283"/>
      <c r="O106" s="284"/>
      <c r="P106" s="284"/>
      <c r="Q106" s="283">
        <f t="shared" si="11"/>
        <v>0</v>
      </c>
      <c r="R106" s="282">
        <f t="shared" si="9"/>
        <v>0</v>
      </c>
      <c r="S106" s="283">
        <f t="shared" si="10"/>
        <v>5.7</v>
      </c>
      <c r="T106" s="283">
        <f t="shared" si="7"/>
        <v>5.7</v>
      </c>
      <c r="U106" s="283"/>
    </row>
    <row r="107" spans="1:21">
      <c r="A107" s="271"/>
      <c r="B107" s="378" t="str">
        <f>'Розшифровка кап'!A109</f>
        <v>столик для приладів СП-3</v>
      </c>
      <c r="C107" s="379"/>
      <c r="D107" s="380"/>
      <c r="E107" s="283"/>
      <c r="F107" s="283"/>
      <c r="G107" s="283"/>
      <c r="H107" s="283"/>
      <c r="I107" s="283"/>
      <c r="J107" s="283"/>
      <c r="K107" s="283"/>
      <c r="L107" s="283"/>
      <c r="M107" s="283">
        <v>4.8</v>
      </c>
      <c r="N107" s="283"/>
      <c r="O107" s="284"/>
      <c r="P107" s="284"/>
      <c r="Q107" s="283">
        <f t="shared" si="11"/>
        <v>0</v>
      </c>
      <c r="R107" s="282">
        <f t="shared" si="9"/>
        <v>0</v>
      </c>
      <c r="S107" s="283">
        <f t="shared" si="10"/>
        <v>4.8</v>
      </c>
      <c r="T107" s="283">
        <f t="shared" si="7"/>
        <v>4.8</v>
      </c>
      <c r="U107" s="283"/>
    </row>
    <row r="108" spans="1:21" ht="48" customHeight="1">
      <c r="A108" s="271"/>
      <c r="B108" s="378" t="str">
        <f>'Розшифровка кап'!A110</f>
        <v>шафа медична з бактерицидними лампами ШМБ-8 (3 шт)</v>
      </c>
      <c r="C108" s="379"/>
      <c r="D108" s="380"/>
      <c r="E108" s="283"/>
      <c r="F108" s="283"/>
      <c r="G108" s="283"/>
      <c r="H108" s="283"/>
      <c r="I108" s="283"/>
      <c r="J108" s="283"/>
      <c r="K108" s="283"/>
      <c r="L108" s="283"/>
      <c r="M108" s="283">
        <v>18</v>
      </c>
      <c r="N108" s="283"/>
      <c r="O108" s="284"/>
      <c r="P108" s="284"/>
      <c r="Q108" s="283">
        <f t="shared" si="11"/>
        <v>0</v>
      </c>
      <c r="R108" s="282">
        <f t="shared" si="9"/>
        <v>0</v>
      </c>
      <c r="S108" s="283">
        <f t="shared" si="10"/>
        <v>18</v>
      </c>
      <c r="T108" s="283">
        <f t="shared" si="7"/>
        <v>18</v>
      </c>
      <c r="U108" s="283"/>
    </row>
    <row r="109" spans="1:21">
      <c r="A109" s="271"/>
      <c r="B109" s="378" t="str">
        <f>'Розшифровка кап'!A111</f>
        <v>стіл в вестибюль</v>
      </c>
      <c r="C109" s="379"/>
      <c r="D109" s="380"/>
      <c r="E109" s="283"/>
      <c r="F109" s="283"/>
      <c r="G109" s="283"/>
      <c r="H109" s="283"/>
      <c r="I109" s="283"/>
      <c r="J109" s="283"/>
      <c r="K109" s="283"/>
      <c r="L109" s="283"/>
      <c r="M109" s="283"/>
      <c r="N109" s="283"/>
      <c r="O109" s="284"/>
      <c r="P109" s="284">
        <v>2</v>
      </c>
      <c r="Q109" s="283">
        <f t="shared" si="11"/>
        <v>0</v>
      </c>
      <c r="R109" s="282">
        <f t="shared" si="9"/>
        <v>0</v>
      </c>
      <c r="S109" s="283">
        <f t="shared" si="10"/>
        <v>2</v>
      </c>
      <c r="T109" s="283">
        <f t="shared" si="7"/>
        <v>2</v>
      </c>
      <c r="U109" s="283"/>
    </row>
    <row r="110" spans="1:21">
      <c r="A110" s="271"/>
      <c r="B110" s="378" t="str">
        <f>'Розшифровка кап'!A112</f>
        <v>стіл кухонний</v>
      </c>
      <c r="C110" s="379"/>
      <c r="D110" s="380"/>
      <c r="E110" s="283"/>
      <c r="F110" s="283"/>
      <c r="G110" s="283"/>
      <c r="H110" s="283"/>
      <c r="I110" s="283"/>
      <c r="J110" s="283"/>
      <c r="K110" s="283"/>
      <c r="L110" s="283"/>
      <c r="M110" s="283"/>
      <c r="N110" s="283"/>
      <c r="O110" s="284"/>
      <c r="P110" s="284">
        <v>1.4</v>
      </c>
      <c r="Q110" s="283">
        <f t="shared" si="11"/>
        <v>0</v>
      </c>
      <c r="R110" s="282">
        <f t="shared" si="9"/>
        <v>0</v>
      </c>
      <c r="S110" s="283">
        <f t="shared" si="10"/>
        <v>1.4</v>
      </c>
      <c r="T110" s="283">
        <f t="shared" si="7"/>
        <v>1.4</v>
      </c>
      <c r="U110" s="283"/>
    </row>
    <row r="111" spans="1:21">
      <c r="A111" s="271"/>
      <c r="B111" s="378" t="str">
        <f>'Розшифровка кап'!A113</f>
        <v>стіл комп'ютерний</v>
      </c>
      <c r="C111" s="379"/>
      <c r="D111" s="380"/>
      <c r="E111" s="283"/>
      <c r="F111" s="283"/>
      <c r="G111" s="283"/>
      <c r="H111" s="283"/>
      <c r="I111" s="283"/>
      <c r="J111" s="283"/>
      <c r="K111" s="283">
        <v>4.0999999999999996</v>
      </c>
      <c r="L111" s="283"/>
      <c r="M111" s="283"/>
      <c r="N111" s="283"/>
      <c r="O111" s="284"/>
      <c r="P111" s="284">
        <v>4.5</v>
      </c>
      <c r="Q111" s="283">
        <f t="shared" si="11"/>
        <v>4.0999999999999996</v>
      </c>
      <c r="R111" s="282">
        <f t="shared" si="9"/>
        <v>0</v>
      </c>
      <c r="S111" s="283">
        <f t="shared" si="10"/>
        <v>4.5</v>
      </c>
      <c r="T111" s="283">
        <f t="shared" si="7"/>
        <v>4.5</v>
      </c>
      <c r="U111" s="283"/>
    </row>
    <row r="112" spans="1:21">
      <c r="A112" s="271"/>
      <c r="B112" s="378" t="str">
        <f>'Розшифровка кап'!A114</f>
        <v>інгалятор компресорний ONRON</v>
      </c>
      <c r="C112" s="379"/>
      <c r="D112" s="380"/>
      <c r="E112" s="283"/>
      <c r="F112" s="283"/>
      <c r="G112" s="283"/>
      <c r="H112" s="283"/>
      <c r="I112" s="283"/>
      <c r="J112" s="283"/>
      <c r="K112" s="283"/>
      <c r="L112" s="283"/>
      <c r="M112" s="283"/>
      <c r="N112" s="283"/>
      <c r="O112" s="284"/>
      <c r="P112" s="284">
        <v>1.4</v>
      </c>
      <c r="Q112" s="283">
        <f t="shared" si="11"/>
        <v>0</v>
      </c>
      <c r="R112" s="282">
        <f t="shared" si="9"/>
        <v>0</v>
      </c>
      <c r="S112" s="283">
        <f t="shared" si="10"/>
        <v>1.4</v>
      </c>
      <c r="T112" s="283">
        <f t="shared" si="7"/>
        <v>1.4</v>
      </c>
      <c r="U112" s="283"/>
    </row>
    <row r="113" spans="1:21">
      <c r="A113" s="271"/>
      <c r="B113" s="378" t="str">
        <f>'Розшифровка кап'!A115</f>
        <v>матрац для ліжечка</v>
      </c>
      <c r="C113" s="379"/>
      <c r="D113" s="380"/>
      <c r="E113" s="283"/>
      <c r="F113" s="283"/>
      <c r="G113" s="283"/>
      <c r="H113" s="283"/>
      <c r="I113" s="283"/>
      <c r="J113" s="283"/>
      <c r="K113" s="283"/>
      <c r="L113" s="283"/>
      <c r="M113" s="283"/>
      <c r="N113" s="283"/>
      <c r="O113" s="284"/>
      <c r="P113" s="284">
        <v>5</v>
      </c>
      <c r="Q113" s="283">
        <f t="shared" si="11"/>
        <v>0</v>
      </c>
      <c r="R113" s="282">
        <f t="shared" si="9"/>
        <v>0</v>
      </c>
      <c r="S113" s="283">
        <f t="shared" si="10"/>
        <v>5</v>
      </c>
      <c r="T113" s="283">
        <f t="shared" si="7"/>
        <v>5</v>
      </c>
      <c r="U113" s="283"/>
    </row>
    <row r="114" spans="1:21">
      <c r="A114" s="271"/>
      <c r="B114" s="378" t="str">
        <f>'Розшифровка кап'!A116</f>
        <v>електрочайник</v>
      </c>
      <c r="C114" s="379"/>
      <c r="D114" s="380"/>
      <c r="E114" s="283"/>
      <c r="F114" s="283"/>
      <c r="G114" s="283"/>
      <c r="H114" s="283"/>
      <c r="I114" s="283"/>
      <c r="J114" s="283"/>
      <c r="K114" s="283">
        <v>3.6</v>
      </c>
      <c r="L114" s="283"/>
      <c r="M114" s="283"/>
      <c r="N114" s="283"/>
      <c r="O114" s="284"/>
      <c r="P114" s="284">
        <v>0.5</v>
      </c>
      <c r="Q114" s="283">
        <f t="shared" si="11"/>
        <v>3.6</v>
      </c>
      <c r="R114" s="282">
        <f t="shared" si="9"/>
        <v>0</v>
      </c>
      <c r="S114" s="283">
        <f t="shared" si="10"/>
        <v>0.5</v>
      </c>
      <c r="T114" s="283">
        <f t="shared" si="7"/>
        <v>0.5</v>
      </c>
      <c r="U114" s="283"/>
    </row>
    <row r="115" spans="1:21">
      <c r="A115" s="271"/>
      <c r="B115" s="378" t="str">
        <f>'Розшифровка кап'!A117</f>
        <v>стіл кутовий лівий (61 шт)</v>
      </c>
      <c r="C115" s="379"/>
      <c r="D115" s="380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4"/>
      <c r="P115" s="284">
        <v>61</v>
      </c>
      <c r="Q115" s="283">
        <f t="shared" si="11"/>
        <v>0</v>
      </c>
      <c r="R115" s="282">
        <f t="shared" si="9"/>
        <v>0</v>
      </c>
      <c r="S115" s="283">
        <f t="shared" si="10"/>
        <v>61</v>
      </c>
      <c r="T115" s="283">
        <f t="shared" si="7"/>
        <v>61</v>
      </c>
      <c r="U115" s="283"/>
    </row>
    <row r="116" spans="1:21">
      <c r="A116" s="271"/>
      <c r="B116" s="378" t="str">
        <f>'Розшифровка кап'!A118</f>
        <v>стіл кутовий правий (84 шт)</v>
      </c>
      <c r="C116" s="379"/>
      <c r="D116" s="380"/>
      <c r="E116" s="283"/>
      <c r="F116" s="283"/>
      <c r="G116" s="283"/>
      <c r="H116" s="283"/>
      <c r="I116" s="283"/>
      <c r="J116" s="283"/>
      <c r="K116" s="283"/>
      <c r="L116" s="283"/>
      <c r="M116" s="283"/>
      <c r="N116" s="283"/>
      <c r="O116" s="284"/>
      <c r="P116" s="284">
        <v>84</v>
      </c>
      <c r="Q116" s="283">
        <f t="shared" si="11"/>
        <v>0</v>
      </c>
      <c r="R116" s="282">
        <f t="shared" si="9"/>
        <v>0</v>
      </c>
      <c r="S116" s="283">
        <f t="shared" si="10"/>
        <v>84</v>
      </c>
      <c r="T116" s="283">
        <f t="shared" si="7"/>
        <v>84</v>
      </c>
      <c r="U116" s="283"/>
    </row>
    <row r="117" spans="1:21">
      <c r="A117" s="271"/>
      <c r="B117" s="378" t="str">
        <f>'Розшифровка кап'!A119</f>
        <v>тумба (150 шт)</v>
      </c>
      <c r="C117" s="379"/>
      <c r="D117" s="380"/>
      <c r="E117" s="283"/>
      <c r="F117" s="283"/>
      <c r="G117" s="283"/>
      <c r="H117" s="283"/>
      <c r="I117" s="283"/>
      <c r="J117" s="283"/>
      <c r="K117" s="283"/>
      <c r="L117" s="283"/>
      <c r="M117" s="283"/>
      <c r="N117" s="283"/>
      <c r="O117" s="284"/>
      <c r="P117" s="284">
        <v>75</v>
      </c>
      <c r="Q117" s="283">
        <f t="shared" si="11"/>
        <v>0</v>
      </c>
      <c r="R117" s="282">
        <f t="shared" si="9"/>
        <v>0</v>
      </c>
      <c r="S117" s="283">
        <f t="shared" si="10"/>
        <v>75</v>
      </c>
      <c r="T117" s="283">
        <f t="shared" si="7"/>
        <v>75</v>
      </c>
      <c r="U117" s="283"/>
    </row>
    <row r="118" spans="1:21">
      <c r="A118" s="271"/>
      <c r="B118" s="378" t="str">
        <f>'Розшифровка кап'!A120</f>
        <v>протипролежневий матрац</v>
      </c>
      <c r="C118" s="379"/>
      <c r="D118" s="380"/>
      <c r="E118" s="283"/>
      <c r="F118" s="283"/>
      <c r="G118" s="283"/>
      <c r="H118" s="283"/>
      <c r="I118" s="283"/>
      <c r="J118" s="283"/>
      <c r="K118" s="283"/>
      <c r="L118" s="283"/>
      <c r="M118" s="283"/>
      <c r="N118" s="283"/>
      <c r="O118" s="284"/>
      <c r="P118" s="284">
        <v>2.2999999999999998</v>
      </c>
      <c r="Q118" s="283">
        <f t="shared" si="11"/>
        <v>0</v>
      </c>
      <c r="R118" s="282">
        <f t="shared" si="9"/>
        <v>0</v>
      </c>
      <c r="S118" s="283">
        <f t="shared" si="10"/>
        <v>2.2999999999999998</v>
      </c>
      <c r="T118" s="283">
        <f t="shared" si="7"/>
        <v>2.2999999999999998</v>
      </c>
      <c r="U118" s="283"/>
    </row>
    <row r="119" spans="1:21">
      <c r="A119" s="271"/>
      <c r="B119" s="311" t="s">
        <v>672</v>
      </c>
      <c r="C119" s="312"/>
      <c r="D119" s="313"/>
      <c r="E119" s="283"/>
      <c r="F119" s="283"/>
      <c r="G119" s="283"/>
      <c r="H119" s="283"/>
      <c r="I119" s="283"/>
      <c r="J119" s="283"/>
      <c r="K119" s="283">
        <v>3</v>
      </c>
      <c r="L119" s="283"/>
      <c r="M119" s="283"/>
      <c r="N119" s="283"/>
      <c r="O119" s="284"/>
      <c r="P119" s="284"/>
      <c r="Q119" s="283">
        <f t="shared" si="11"/>
        <v>3</v>
      </c>
      <c r="R119" s="282"/>
      <c r="S119" s="283"/>
      <c r="T119" s="283"/>
      <c r="U119" s="283"/>
    </row>
    <row r="120" spans="1:21" ht="21.75" customHeight="1">
      <c r="A120" s="271"/>
      <c r="B120" s="378" t="s">
        <v>673</v>
      </c>
      <c r="C120" s="379"/>
      <c r="D120" s="380"/>
      <c r="E120" s="283"/>
      <c r="F120" s="283"/>
      <c r="G120" s="283"/>
      <c r="H120" s="283"/>
      <c r="I120" s="283"/>
      <c r="J120" s="283"/>
      <c r="K120" s="283">
        <v>2</v>
      </c>
      <c r="L120" s="283"/>
      <c r="M120" s="283"/>
      <c r="N120" s="283"/>
      <c r="O120" s="284"/>
      <c r="P120" s="284"/>
      <c r="Q120" s="283">
        <f t="shared" si="11"/>
        <v>2</v>
      </c>
      <c r="R120" s="282"/>
      <c r="S120" s="283"/>
      <c r="T120" s="283"/>
      <c r="U120" s="283"/>
    </row>
    <row r="121" spans="1:21">
      <c r="A121" s="271"/>
      <c r="B121" s="378" t="str">
        <f>'Розшифровка кап'!A121</f>
        <v>ліжка новонароджених (4 шт)</v>
      </c>
      <c r="C121" s="379"/>
      <c r="D121" s="380"/>
      <c r="E121" s="283"/>
      <c r="F121" s="283"/>
      <c r="G121" s="283"/>
      <c r="H121" s="283"/>
      <c r="I121" s="283"/>
      <c r="J121" s="283"/>
      <c r="K121" s="283"/>
      <c r="L121" s="283"/>
      <c r="M121" s="283"/>
      <c r="N121" s="283"/>
      <c r="O121" s="284"/>
      <c r="P121" s="284">
        <v>22.8</v>
      </c>
      <c r="Q121" s="283">
        <f t="shared" si="11"/>
        <v>0</v>
      </c>
      <c r="R121" s="282">
        <f t="shared" si="9"/>
        <v>0</v>
      </c>
      <c r="S121" s="283">
        <f t="shared" si="10"/>
        <v>22.8</v>
      </c>
      <c r="T121" s="283">
        <f t="shared" si="7"/>
        <v>22.8</v>
      </c>
      <c r="U121" s="283"/>
    </row>
    <row r="122" spans="1:21">
      <c r="A122" s="271"/>
      <c r="B122" s="311" t="s">
        <v>675</v>
      </c>
      <c r="C122" s="312"/>
      <c r="D122" s="313"/>
      <c r="E122" s="283"/>
      <c r="F122" s="283"/>
      <c r="G122" s="283"/>
      <c r="H122" s="283"/>
      <c r="I122" s="283"/>
      <c r="J122" s="283"/>
      <c r="K122" s="283">
        <v>5.5</v>
      </c>
      <c r="L122" s="283"/>
      <c r="M122" s="283"/>
      <c r="N122" s="283"/>
      <c r="O122" s="284"/>
      <c r="P122" s="284"/>
      <c r="Q122" s="283">
        <f t="shared" si="11"/>
        <v>5.5</v>
      </c>
      <c r="R122" s="282"/>
      <c r="S122" s="283"/>
      <c r="T122" s="283"/>
      <c r="U122" s="283"/>
    </row>
    <row r="123" spans="1:21">
      <c r="A123" s="271"/>
      <c r="B123" s="378" t="str">
        <f>'Розшифровка кап'!A122</f>
        <v>матраци (5 шт)</v>
      </c>
      <c r="C123" s="379"/>
      <c r="D123" s="380"/>
      <c r="E123" s="283"/>
      <c r="F123" s="283"/>
      <c r="G123" s="283"/>
      <c r="H123" s="283"/>
      <c r="I123" s="283"/>
      <c r="J123" s="283"/>
      <c r="K123" s="283">
        <v>2.4</v>
      </c>
      <c r="L123" s="283"/>
      <c r="M123" s="283"/>
      <c r="N123" s="283"/>
      <c r="O123" s="284"/>
      <c r="P123" s="284">
        <v>21.5</v>
      </c>
      <c r="Q123" s="283">
        <f>E123+H123+K123+N123</f>
        <v>2.4</v>
      </c>
      <c r="R123" s="282">
        <f t="shared" si="9"/>
        <v>0</v>
      </c>
      <c r="S123" s="283">
        <f t="shared" si="10"/>
        <v>21.5</v>
      </c>
      <c r="T123" s="283">
        <f t="shared" si="7"/>
        <v>21.5</v>
      </c>
      <c r="U123" s="283"/>
    </row>
    <row r="124" spans="1:21">
      <c r="A124" s="271"/>
      <c r="B124" s="378" t="str">
        <f>'Розшифровка кап'!A123</f>
        <v>утилізатор голок</v>
      </c>
      <c r="C124" s="379"/>
      <c r="D124" s="380"/>
      <c r="E124" s="283"/>
      <c r="F124" s="283"/>
      <c r="G124" s="283"/>
      <c r="H124" s="283"/>
      <c r="I124" s="283"/>
      <c r="J124" s="283"/>
      <c r="K124" s="283"/>
      <c r="L124" s="283"/>
      <c r="M124" s="283"/>
      <c r="N124" s="283"/>
      <c r="O124" s="284"/>
      <c r="P124" s="284">
        <v>2</v>
      </c>
      <c r="Q124" s="283">
        <f t="shared" si="11"/>
        <v>0</v>
      </c>
      <c r="R124" s="282">
        <f t="shared" si="9"/>
        <v>0</v>
      </c>
      <c r="S124" s="283">
        <f t="shared" si="10"/>
        <v>2</v>
      </c>
      <c r="T124" s="283">
        <f t="shared" si="7"/>
        <v>2</v>
      </c>
      <c r="U124" s="283"/>
    </row>
    <row r="125" spans="1:21">
      <c r="A125" s="271"/>
      <c r="B125" s="378" t="str">
        <f>'Розшифровка кап'!A124</f>
        <v>холодильник (2 шт)</v>
      </c>
      <c r="C125" s="379"/>
      <c r="D125" s="380"/>
      <c r="E125" s="283"/>
      <c r="F125" s="283"/>
      <c r="G125" s="283"/>
      <c r="H125" s="283"/>
      <c r="I125" s="283"/>
      <c r="J125" s="283"/>
      <c r="K125" s="283"/>
      <c r="L125" s="283"/>
      <c r="M125" s="283"/>
      <c r="N125" s="283"/>
      <c r="O125" s="284"/>
      <c r="P125" s="284">
        <v>6.4</v>
      </c>
      <c r="Q125" s="283">
        <f t="shared" si="11"/>
        <v>0</v>
      </c>
      <c r="R125" s="282">
        <f t="shared" si="9"/>
        <v>0</v>
      </c>
      <c r="S125" s="283">
        <f t="shared" si="10"/>
        <v>6.4</v>
      </c>
      <c r="T125" s="283">
        <f t="shared" si="7"/>
        <v>6.4</v>
      </c>
      <c r="U125" s="283"/>
    </row>
    <row r="126" spans="1:21">
      <c r="A126" s="271"/>
      <c r="B126" s="378" t="str">
        <f>'Розшифровка кап'!A125</f>
        <v>мікрохвильова</v>
      </c>
      <c r="C126" s="379"/>
      <c r="D126" s="380"/>
      <c r="E126" s="283"/>
      <c r="F126" s="283"/>
      <c r="G126" s="283"/>
      <c r="H126" s="283"/>
      <c r="I126" s="283"/>
      <c r="J126" s="283"/>
      <c r="K126" s="283"/>
      <c r="L126" s="283"/>
      <c r="M126" s="283"/>
      <c r="N126" s="283"/>
      <c r="O126" s="284"/>
      <c r="P126" s="284">
        <v>1.5</v>
      </c>
      <c r="Q126" s="283">
        <f t="shared" si="11"/>
        <v>0</v>
      </c>
      <c r="R126" s="282">
        <f t="shared" si="9"/>
        <v>0</v>
      </c>
      <c r="S126" s="283">
        <f t="shared" si="10"/>
        <v>1.5</v>
      </c>
      <c r="T126" s="283">
        <f t="shared" si="7"/>
        <v>1.5</v>
      </c>
      <c r="U126" s="283"/>
    </row>
    <row r="127" spans="1:21">
      <c r="A127" s="271"/>
      <c r="B127" s="378" t="str">
        <f>'Розшифровка кап'!A126</f>
        <v>бойлер</v>
      </c>
      <c r="C127" s="379"/>
      <c r="D127" s="380"/>
      <c r="E127" s="283"/>
      <c r="F127" s="283"/>
      <c r="G127" s="283"/>
      <c r="H127" s="283"/>
      <c r="I127" s="283"/>
      <c r="J127" s="283"/>
      <c r="K127" s="283"/>
      <c r="L127" s="283"/>
      <c r="M127" s="283"/>
      <c r="N127" s="283"/>
      <c r="O127" s="284"/>
      <c r="P127" s="284">
        <v>5.9</v>
      </c>
      <c r="Q127" s="283">
        <f t="shared" si="11"/>
        <v>0</v>
      </c>
      <c r="R127" s="282">
        <f t="shared" si="9"/>
        <v>0</v>
      </c>
      <c r="S127" s="283">
        <f t="shared" si="10"/>
        <v>5.9</v>
      </c>
      <c r="T127" s="283">
        <f t="shared" si="7"/>
        <v>5.9</v>
      </c>
      <c r="U127" s="283"/>
    </row>
    <row r="128" spans="1:21">
      <c r="A128" s="271"/>
      <c r="B128" s="378" t="str">
        <f>'Розшифровка кап'!A127</f>
        <v>тумба під мікрохвильову</v>
      </c>
      <c r="C128" s="379"/>
      <c r="D128" s="380"/>
      <c r="E128" s="283"/>
      <c r="F128" s="283"/>
      <c r="G128" s="283"/>
      <c r="H128" s="283"/>
      <c r="I128" s="283"/>
      <c r="J128" s="283"/>
      <c r="K128" s="283"/>
      <c r="L128" s="283"/>
      <c r="M128" s="283"/>
      <c r="N128" s="283"/>
      <c r="O128" s="284"/>
      <c r="P128" s="284">
        <v>4.5999999999999996</v>
      </c>
      <c r="Q128" s="283">
        <f t="shared" si="11"/>
        <v>0</v>
      </c>
      <c r="R128" s="282">
        <f t="shared" si="9"/>
        <v>0</v>
      </c>
      <c r="S128" s="283">
        <f t="shared" si="10"/>
        <v>4.5999999999999996</v>
      </c>
      <c r="T128" s="283">
        <f t="shared" si="7"/>
        <v>4.5999999999999996</v>
      </c>
      <c r="U128" s="283"/>
    </row>
    <row r="129" spans="1:21">
      <c r="A129" s="271"/>
      <c r="B129" s="378" t="str">
        <f>'Розшифровка кап'!A128</f>
        <v>ліжко без спинки (3 шт)</v>
      </c>
      <c r="C129" s="379"/>
      <c r="D129" s="380"/>
      <c r="E129" s="283"/>
      <c r="F129" s="283"/>
      <c r="G129" s="283"/>
      <c r="H129" s="283"/>
      <c r="I129" s="283"/>
      <c r="J129" s="283"/>
      <c r="K129" s="283"/>
      <c r="L129" s="283"/>
      <c r="M129" s="283"/>
      <c r="N129" s="283"/>
      <c r="O129" s="284"/>
      <c r="P129" s="284">
        <v>14.6</v>
      </c>
      <c r="Q129" s="283">
        <f t="shared" si="11"/>
        <v>0</v>
      </c>
      <c r="R129" s="282">
        <f t="shared" si="9"/>
        <v>0</v>
      </c>
      <c r="S129" s="283">
        <f t="shared" si="10"/>
        <v>14.6</v>
      </c>
      <c r="T129" s="283">
        <f t="shared" si="7"/>
        <v>14.6</v>
      </c>
      <c r="U129" s="283"/>
    </row>
    <row r="130" spans="1:21">
      <c r="A130" s="271"/>
      <c r="B130" s="378" t="str">
        <f>'Розшифровка кап'!A129</f>
        <v xml:space="preserve">тумба приліжкова </v>
      </c>
      <c r="C130" s="379"/>
      <c r="D130" s="380"/>
      <c r="E130" s="283"/>
      <c r="F130" s="283"/>
      <c r="G130" s="283"/>
      <c r="H130" s="283"/>
      <c r="I130" s="283"/>
      <c r="J130" s="283"/>
      <c r="K130" s="283">
        <v>3.1</v>
      </c>
      <c r="L130" s="283"/>
      <c r="M130" s="283"/>
      <c r="N130" s="283"/>
      <c r="O130" s="284"/>
      <c r="P130" s="284">
        <v>2.2999999999999998</v>
      </c>
      <c r="Q130" s="283">
        <f t="shared" si="11"/>
        <v>3.1</v>
      </c>
      <c r="R130" s="282">
        <f t="shared" si="9"/>
        <v>0</v>
      </c>
      <c r="S130" s="283">
        <f t="shared" si="10"/>
        <v>2.2999999999999998</v>
      </c>
      <c r="T130" s="283">
        <f t="shared" si="7"/>
        <v>2.2999999999999998</v>
      </c>
      <c r="U130" s="283"/>
    </row>
    <row r="131" spans="1:21">
      <c r="A131" s="271"/>
      <c r="B131" s="378" t="str">
        <f>'Розшифровка кап'!A130</f>
        <v>плед (4 шт)</v>
      </c>
      <c r="C131" s="379"/>
      <c r="D131" s="380"/>
      <c r="E131" s="283"/>
      <c r="F131" s="283"/>
      <c r="G131" s="283"/>
      <c r="H131" s="283"/>
      <c r="I131" s="283"/>
      <c r="J131" s="283"/>
      <c r="K131" s="283"/>
      <c r="L131" s="283"/>
      <c r="M131" s="283"/>
      <c r="N131" s="283"/>
      <c r="O131" s="284"/>
      <c r="P131" s="284">
        <v>0.9</v>
      </c>
      <c r="Q131" s="283">
        <f t="shared" si="11"/>
        <v>0</v>
      </c>
      <c r="R131" s="282">
        <f t="shared" ref="R131:R183" si="12">F131+I131+L131+O131</f>
        <v>0</v>
      </c>
      <c r="S131" s="283">
        <f t="shared" ref="S131:S183" si="13">G131+J131+M131+P131</f>
        <v>0.9</v>
      </c>
      <c r="T131" s="283">
        <f t="shared" ref="T131:T183" si="14">S131-R131</f>
        <v>0.9</v>
      </c>
      <c r="U131" s="283"/>
    </row>
    <row r="132" spans="1:21">
      <c r="A132" s="271"/>
      <c r="B132" s="378" t="str">
        <f>'Розшифровка кап'!A131</f>
        <v>подушка (4 шт)</v>
      </c>
      <c r="C132" s="379"/>
      <c r="D132" s="380"/>
      <c r="E132" s="283"/>
      <c r="F132" s="283"/>
      <c r="G132" s="283"/>
      <c r="H132" s="283"/>
      <c r="I132" s="283"/>
      <c r="J132" s="283"/>
      <c r="K132" s="283">
        <v>0.9</v>
      </c>
      <c r="L132" s="283"/>
      <c r="M132" s="283"/>
      <c r="N132" s="283"/>
      <c r="O132" s="284"/>
      <c r="P132" s="284">
        <v>1</v>
      </c>
      <c r="Q132" s="283">
        <f t="shared" si="11"/>
        <v>0.9</v>
      </c>
      <c r="R132" s="282">
        <f t="shared" si="12"/>
        <v>0</v>
      </c>
      <c r="S132" s="283">
        <f t="shared" si="13"/>
        <v>1</v>
      </c>
      <c r="T132" s="283">
        <f t="shared" si="14"/>
        <v>1</v>
      </c>
      <c r="U132" s="283"/>
    </row>
    <row r="133" spans="1:21">
      <c r="A133" s="271"/>
      <c r="B133" s="378" t="str">
        <f>'Розшифровка кап'!A132</f>
        <v>ковдра (4 шт)</v>
      </c>
      <c r="C133" s="379"/>
      <c r="D133" s="380"/>
      <c r="E133" s="283"/>
      <c r="F133" s="283"/>
      <c r="G133" s="283"/>
      <c r="H133" s="283"/>
      <c r="I133" s="283"/>
      <c r="J133" s="283"/>
      <c r="K133" s="283">
        <v>1.7</v>
      </c>
      <c r="L133" s="283"/>
      <c r="M133" s="283"/>
      <c r="N133" s="283"/>
      <c r="O133" s="284"/>
      <c r="P133" s="284">
        <v>2</v>
      </c>
      <c r="Q133" s="283">
        <f t="shared" si="11"/>
        <v>1.7</v>
      </c>
      <c r="R133" s="282">
        <f t="shared" si="12"/>
        <v>0</v>
      </c>
      <c r="S133" s="283">
        <f t="shared" si="13"/>
        <v>2</v>
      </c>
      <c r="T133" s="283">
        <f t="shared" si="14"/>
        <v>2</v>
      </c>
      <c r="U133" s="283"/>
    </row>
    <row r="134" spans="1:21">
      <c r="A134" s="271"/>
      <c r="B134" s="378" t="str">
        <f>'Розшифровка кап'!A133</f>
        <v>захист для матраца (4 шт)</v>
      </c>
      <c r="C134" s="379"/>
      <c r="D134" s="380"/>
      <c r="E134" s="283"/>
      <c r="F134" s="283"/>
      <c r="G134" s="283"/>
      <c r="H134" s="283"/>
      <c r="I134" s="283"/>
      <c r="J134" s="283"/>
      <c r="K134" s="283"/>
      <c r="L134" s="283"/>
      <c r="M134" s="283"/>
      <c r="N134" s="283"/>
      <c r="O134" s="284"/>
      <c r="P134" s="284">
        <v>2.8</v>
      </c>
      <c r="Q134" s="283">
        <f t="shared" si="11"/>
        <v>0</v>
      </c>
      <c r="R134" s="282">
        <f t="shared" si="12"/>
        <v>0</v>
      </c>
      <c r="S134" s="283">
        <f t="shared" si="13"/>
        <v>2.8</v>
      </c>
      <c r="T134" s="283">
        <f t="shared" si="14"/>
        <v>2.8</v>
      </c>
      <c r="U134" s="283"/>
    </row>
    <row r="135" spans="1:21">
      <c r="A135" s="271"/>
      <c r="B135" s="378" t="str">
        <f>'Розшифровка кап'!A134</f>
        <v xml:space="preserve">ліжко зі спинкою (2 шт) </v>
      </c>
      <c r="C135" s="379"/>
      <c r="D135" s="380"/>
      <c r="E135" s="283"/>
      <c r="F135" s="283"/>
      <c r="G135" s="283"/>
      <c r="H135" s="283"/>
      <c r="I135" s="283"/>
      <c r="J135" s="283"/>
      <c r="K135" s="283"/>
      <c r="L135" s="283"/>
      <c r="M135" s="283"/>
      <c r="N135" s="283"/>
      <c r="O135" s="284"/>
      <c r="P135" s="284">
        <v>11.6</v>
      </c>
      <c r="Q135" s="283">
        <f t="shared" ref="Q135:Q149" si="15">E135+H135+K135+N135</f>
        <v>0</v>
      </c>
      <c r="R135" s="282">
        <f t="shared" si="12"/>
        <v>0</v>
      </c>
      <c r="S135" s="283">
        <f t="shared" si="13"/>
        <v>11.6</v>
      </c>
      <c r="T135" s="283">
        <f t="shared" si="14"/>
        <v>11.6</v>
      </c>
      <c r="U135" s="283"/>
    </row>
    <row r="136" spans="1:21">
      <c r="A136" s="271"/>
      <c r="B136" s="378" t="str">
        <f>'Розшифровка кап'!A135</f>
        <v>столик журнальний</v>
      </c>
      <c r="C136" s="379"/>
      <c r="D136" s="380"/>
      <c r="E136" s="283"/>
      <c r="F136" s="283"/>
      <c r="G136" s="283"/>
      <c r="H136" s="283"/>
      <c r="I136" s="283"/>
      <c r="J136" s="283"/>
      <c r="K136" s="283"/>
      <c r="L136" s="283"/>
      <c r="M136" s="283"/>
      <c r="N136" s="283"/>
      <c r="O136" s="284"/>
      <c r="P136" s="284">
        <v>4.7</v>
      </c>
      <c r="Q136" s="283">
        <f t="shared" si="15"/>
        <v>0</v>
      </c>
      <c r="R136" s="282">
        <f t="shared" si="12"/>
        <v>0</v>
      </c>
      <c r="S136" s="283">
        <f t="shared" si="13"/>
        <v>4.7</v>
      </c>
      <c r="T136" s="283">
        <f t="shared" si="14"/>
        <v>4.7</v>
      </c>
      <c r="U136" s="283"/>
    </row>
    <row r="137" spans="1:21">
      <c r="A137" s="271"/>
      <c r="B137" s="378" t="str">
        <f>'Розшифровка кап'!A136</f>
        <v>тумба приліжкова (4 шт)</v>
      </c>
      <c r="C137" s="379"/>
      <c r="D137" s="380"/>
      <c r="E137" s="283"/>
      <c r="F137" s="283"/>
      <c r="G137" s="283"/>
      <c r="H137" s="283"/>
      <c r="I137" s="283"/>
      <c r="J137" s="283"/>
      <c r="K137" s="283"/>
      <c r="L137" s="283"/>
      <c r="M137" s="283"/>
      <c r="N137" s="283"/>
      <c r="O137" s="284"/>
      <c r="P137" s="284">
        <v>8</v>
      </c>
      <c r="Q137" s="283">
        <f t="shared" si="15"/>
        <v>0</v>
      </c>
      <c r="R137" s="282">
        <f t="shared" si="12"/>
        <v>0</v>
      </c>
      <c r="S137" s="283">
        <f t="shared" si="13"/>
        <v>8</v>
      </c>
      <c r="T137" s="283">
        <f t="shared" si="14"/>
        <v>8</v>
      </c>
      <c r="U137" s="283"/>
    </row>
    <row r="138" spans="1:21">
      <c r="A138" s="271"/>
      <c r="B138" s="378" t="str">
        <f>'Розшифровка кап'!A137</f>
        <v>стільниця S-946 статуріо 28 мм</v>
      </c>
      <c r="C138" s="379"/>
      <c r="D138" s="380"/>
      <c r="E138" s="283"/>
      <c r="F138" s="283"/>
      <c r="G138" s="283"/>
      <c r="H138" s="283"/>
      <c r="I138" s="283"/>
      <c r="J138" s="283"/>
      <c r="K138" s="283"/>
      <c r="L138" s="283"/>
      <c r="M138" s="283"/>
      <c r="N138" s="283"/>
      <c r="O138" s="284"/>
      <c r="P138" s="284">
        <v>3.5</v>
      </c>
      <c r="Q138" s="283">
        <f t="shared" si="15"/>
        <v>0</v>
      </c>
      <c r="R138" s="282">
        <f t="shared" si="12"/>
        <v>0</v>
      </c>
      <c r="S138" s="283">
        <f t="shared" si="13"/>
        <v>3.5</v>
      </c>
      <c r="T138" s="283">
        <f t="shared" si="14"/>
        <v>3.5</v>
      </c>
      <c r="U138" s="283"/>
    </row>
    <row r="139" spans="1:21">
      <c r="A139" s="271"/>
      <c r="B139" s="311" t="s">
        <v>676</v>
      </c>
      <c r="C139" s="312"/>
      <c r="D139" s="313"/>
      <c r="E139" s="283"/>
      <c r="F139" s="283"/>
      <c r="G139" s="283"/>
      <c r="H139" s="283"/>
      <c r="I139" s="283"/>
      <c r="J139" s="283"/>
      <c r="K139" s="283">
        <v>2.2000000000000002</v>
      </c>
      <c r="L139" s="283"/>
      <c r="M139" s="283"/>
      <c r="N139" s="283"/>
      <c r="O139" s="284"/>
      <c r="P139" s="284"/>
      <c r="Q139" s="283">
        <f t="shared" si="15"/>
        <v>2.2000000000000002</v>
      </c>
      <c r="R139" s="282"/>
      <c r="S139" s="283"/>
      <c r="T139" s="283"/>
      <c r="U139" s="283"/>
    </row>
    <row r="140" spans="1:21">
      <c r="A140" s="271"/>
      <c r="B140" s="378" t="str">
        <f>'Розшифровка кап'!A138</f>
        <v>матрац пружинний 0,9*2,00 (5 шт)</v>
      </c>
      <c r="C140" s="379"/>
      <c r="D140" s="380"/>
      <c r="E140" s="283"/>
      <c r="F140" s="283"/>
      <c r="G140" s="283"/>
      <c r="H140" s="283"/>
      <c r="I140" s="283"/>
      <c r="J140" s="283"/>
      <c r="K140" s="283">
        <v>1.3</v>
      </c>
      <c r="L140" s="283"/>
      <c r="M140" s="283"/>
      <c r="N140" s="283"/>
      <c r="O140" s="284"/>
      <c r="P140" s="284">
        <v>14.3</v>
      </c>
      <c r="Q140" s="283">
        <f t="shared" si="15"/>
        <v>1.3</v>
      </c>
      <c r="R140" s="282">
        <f t="shared" si="12"/>
        <v>0</v>
      </c>
      <c r="S140" s="283">
        <f t="shared" si="13"/>
        <v>14.3</v>
      </c>
      <c r="T140" s="283">
        <f t="shared" si="14"/>
        <v>14.3</v>
      </c>
      <c r="U140" s="283"/>
    </row>
    <row r="141" spans="1:21">
      <c r="A141" s="271"/>
      <c r="B141" s="378" t="str">
        <f>'Розшифровка кап'!A139</f>
        <v>ламелі (ніжки) 0,90*2,00 (5 шт)</v>
      </c>
      <c r="C141" s="379"/>
      <c r="D141" s="380"/>
      <c r="E141" s="283"/>
      <c r="F141" s="283"/>
      <c r="G141" s="283"/>
      <c r="H141" s="283"/>
      <c r="I141" s="283"/>
      <c r="J141" s="283"/>
      <c r="K141" s="283"/>
      <c r="L141" s="283"/>
      <c r="M141" s="283"/>
      <c r="N141" s="283"/>
      <c r="O141" s="284"/>
      <c r="P141" s="284">
        <v>6.8</v>
      </c>
      <c r="Q141" s="283">
        <f t="shared" si="15"/>
        <v>0</v>
      </c>
      <c r="R141" s="282">
        <f t="shared" si="12"/>
        <v>0</v>
      </c>
      <c r="S141" s="283">
        <f t="shared" si="13"/>
        <v>6.8</v>
      </c>
      <c r="T141" s="283">
        <f t="shared" si="14"/>
        <v>6.8</v>
      </c>
      <c r="U141" s="283"/>
    </row>
    <row r="142" spans="1:21">
      <c r="A142" s="271"/>
      <c r="B142" s="378" t="str">
        <f>'Розшифровка кап'!A140</f>
        <v>тумба для речей (4 шт)</v>
      </c>
      <c r="C142" s="379"/>
      <c r="D142" s="380"/>
      <c r="E142" s="283"/>
      <c r="F142" s="283"/>
      <c r="G142" s="283"/>
      <c r="H142" s="283"/>
      <c r="I142" s="283"/>
      <c r="J142" s="283"/>
      <c r="K142" s="283"/>
      <c r="L142" s="283"/>
      <c r="M142" s="283"/>
      <c r="N142" s="283"/>
      <c r="O142" s="284"/>
      <c r="P142" s="284">
        <v>16.8</v>
      </c>
      <c r="Q142" s="283">
        <f t="shared" si="15"/>
        <v>0</v>
      </c>
      <c r="R142" s="282">
        <f t="shared" si="12"/>
        <v>0</v>
      </c>
      <c r="S142" s="283">
        <f t="shared" si="13"/>
        <v>16.8</v>
      </c>
      <c r="T142" s="283">
        <f t="shared" si="14"/>
        <v>16.8</v>
      </c>
      <c r="U142" s="283"/>
    </row>
    <row r="143" spans="1:21">
      <c r="A143" s="271"/>
      <c r="B143" s="378" t="str">
        <f>'Розшифровка кап'!A141</f>
        <v xml:space="preserve">тумбочка </v>
      </c>
      <c r="C143" s="379"/>
      <c r="D143" s="380"/>
      <c r="E143" s="283"/>
      <c r="F143" s="283"/>
      <c r="G143" s="283"/>
      <c r="H143" s="283"/>
      <c r="I143" s="283"/>
      <c r="J143" s="283"/>
      <c r="K143" s="283"/>
      <c r="L143" s="283"/>
      <c r="M143" s="283"/>
      <c r="N143" s="283"/>
      <c r="O143" s="284"/>
      <c r="P143" s="284">
        <v>4.5999999999999996</v>
      </c>
      <c r="Q143" s="283">
        <f t="shared" si="15"/>
        <v>0</v>
      </c>
      <c r="R143" s="282">
        <f t="shared" si="12"/>
        <v>0</v>
      </c>
      <c r="S143" s="283">
        <f t="shared" si="13"/>
        <v>4.5999999999999996</v>
      </c>
      <c r="T143" s="283">
        <f t="shared" si="14"/>
        <v>4.5999999999999996</v>
      </c>
      <c r="U143" s="283"/>
    </row>
    <row r="144" spans="1:21" ht="48" customHeight="1">
      <c r="A144" s="271"/>
      <c r="B144" s="378" t="str">
        <f>'Розшифровка кап'!A142</f>
        <v>збірник для очищеної води на 100л з кришкою</v>
      </c>
      <c r="C144" s="379"/>
      <c r="D144" s="380"/>
      <c r="E144" s="283"/>
      <c r="F144" s="283"/>
      <c r="G144" s="283"/>
      <c r="H144" s="283"/>
      <c r="I144" s="283"/>
      <c r="J144" s="283">
        <v>4</v>
      </c>
      <c r="K144" s="283"/>
      <c r="L144" s="283"/>
      <c r="M144" s="283"/>
      <c r="N144" s="283"/>
      <c r="O144" s="284"/>
      <c r="P144" s="284"/>
      <c r="Q144" s="283">
        <f t="shared" si="15"/>
        <v>0</v>
      </c>
      <c r="R144" s="282">
        <f t="shared" si="12"/>
        <v>0</v>
      </c>
      <c r="S144" s="283">
        <f t="shared" si="13"/>
        <v>4</v>
      </c>
      <c r="T144" s="283">
        <f t="shared" si="14"/>
        <v>4</v>
      </c>
      <c r="U144" s="283"/>
    </row>
    <row r="145" spans="1:21" ht="48" customHeight="1">
      <c r="A145" s="271"/>
      <c r="B145" s="378" t="str">
        <f>'Розшифровка кап'!A143</f>
        <v xml:space="preserve">рушникосушарка стандарт П9 500*900 електро </v>
      </c>
      <c r="C145" s="379"/>
      <c r="D145" s="380"/>
      <c r="E145" s="283"/>
      <c r="F145" s="283"/>
      <c r="G145" s="283"/>
      <c r="H145" s="283"/>
      <c r="I145" s="283"/>
      <c r="J145" s="283">
        <v>2.1</v>
      </c>
      <c r="K145" s="283"/>
      <c r="L145" s="283"/>
      <c r="M145" s="283"/>
      <c r="N145" s="283"/>
      <c r="O145" s="284"/>
      <c r="P145" s="284"/>
      <c r="Q145" s="283">
        <f t="shared" si="15"/>
        <v>0</v>
      </c>
      <c r="R145" s="282">
        <f t="shared" si="12"/>
        <v>0</v>
      </c>
      <c r="S145" s="283">
        <f t="shared" si="13"/>
        <v>2.1</v>
      </c>
      <c r="T145" s="283">
        <f t="shared" si="14"/>
        <v>2.1</v>
      </c>
      <c r="U145" s="283"/>
    </row>
    <row r="146" spans="1:21" ht="44.25" customHeight="1">
      <c r="A146" s="271"/>
      <c r="B146" s="378" t="str">
        <f>'Розшифровка кап'!A144</f>
        <v>опромінювач бактерицидний ОБН-150МП (3 шт)</v>
      </c>
      <c r="C146" s="379"/>
      <c r="D146" s="380"/>
      <c r="E146" s="283"/>
      <c r="F146" s="283"/>
      <c r="G146" s="283"/>
      <c r="H146" s="283"/>
      <c r="I146" s="283"/>
      <c r="J146" s="283">
        <v>2.5</v>
      </c>
      <c r="K146" s="283"/>
      <c r="L146" s="283"/>
      <c r="M146" s="283"/>
      <c r="N146" s="283"/>
      <c r="O146" s="284"/>
      <c r="P146" s="284"/>
      <c r="Q146" s="283">
        <f t="shared" si="15"/>
        <v>0</v>
      </c>
      <c r="R146" s="282">
        <f t="shared" si="12"/>
        <v>0</v>
      </c>
      <c r="S146" s="283">
        <f t="shared" si="13"/>
        <v>2.5</v>
      </c>
      <c r="T146" s="283">
        <f t="shared" si="14"/>
        <v>2.5</v>
      </c>
      <c r="U146" s="283"/>
    </row>
    <row r="147" spans="1:21" ht="48" customHeight="1">
      <c r="A147" s="271"/>
      <c r="B147" s="378" t="str">
        <f>'Розшифровка кап'!A145</f>
        <v>опромінювач бактерицидний ОБН-75М (10 шт)</v>
      </c>
      <c r="C147" s="379"/>
      <c r="D147" s="380"/>
      <c r="E147" s="283"/>
      <c r="F147" s="283"/>
      <c r="G147" s="283"/>
      <c r="H147" s="283"/>
      <c r="I147" s="283"/>
      <c r="J147" s="283">
        <v>5.9</v>
      </c>
      <c r="K147" s="283"/>
      <c r="L147" s="283"/>
      <c r="M147" s="283"/>
      <c r="N147" s="283"/>
      <c r="O147" s="284"/>
      <c r="P147" s="284"/>
      <c r="Q147" s="283">
        <f t="shared" si="15"/>
        <v>0</v>
      </c>
      <c r="R147" s="282">
        <f t="shared" si="12"/>
        <v>0</v>
      </c>
      <c r="S147" s="283">
        <f t="shared" si="13"/>
        <v>5.9</v>
      </c>
      <c r="T147" s="283">
        <f t="shared" si="14"/>
        <v>5.9</v>
      </c>
      <c r="U147" s="283"/>
    </row>
    <row r="148" spans="1:21">
      <c r="A148" s="271"/>
      <c r="B148" s="378" t="str">
        <f>'Розшифровка кап'!A146</f>
        <v xml:space="preserve">мийка виробнича 630*630*850 глиб 450 </v>
      </c>
      <c r="C148" s="379"/>
      <c r="D148" s="380"/>
      <c r="E148" s="283"/>
      <c r="F148" s="283"/>
      <c r="G148" s="283"/>
      <c r="H148" s="283"/>
      <c r="I148" s="283"/>
      <c r="J148" s="283">
        <v>2.2999999999999998</v>
      </c>
      <c r="K148" s="283"/>
      <c r="L148" s="283"/>
      <c r="M148" s="283"/>
      <c r="N148" s="283"/>
      <c r="O148" s="284"/>
      <c r="P148" s="284"/>
      <c r="Q148" s="283">
        <f t="shared" si="15"/>
        <v>0</v>
      </c>
      <c r="R148" s="282">
        <f t="shared" si="12"/>
        <v>0</v>
      </c>
      <c r="S148" s="283">
        <f t="shared" si="13"/>
        <v>2.2999999999999998</v>
      </c>
      <c r="T148" s="283">
        <f t="shared" si="14"/>
        <v>2.2999999999999998</v>
      </c>
      <c r="U148" s="283"/>
    </row>
    <row r="149" spans="1:21" ht="48" customHeight="1">
      <c r="A149" s="271"/>
      <c r="B149" s="378" t="str">
        <f>'Розшифровка кап'!A147</f>
        <v>мийка виробнича 630*630*850 глиб 350 (2 шт)</v>
      </c>
      <c r="C149" s="379"/>
      <c r="D149" s="380"/>
      <c r="E149" s="283"/>
      <c r="F149" s="283"/>
      <c r="G149" s="283"/>
      <c r="H149" s="283"/>
      <c r="I149" s="283"/>
      <c r="J149" s="283">
        <v>4.3</v>
      </c>
      <c r="K149" s="283"/>
      <c r="L149" s="283"/>
      <c r="M149" s="283"/>
      <c r="N149" s="283"/>
      <c r="O149" s="284"/>
      <c r="P149" s="284"/>
      <c r="Q149" s="283">
        <f t="shared" si="15"/>
        <v>0</v>
      </c>
      <c r="R149" s="282">
        <f t="shared" si="12"/>
        <v>0</v>
      </c>
      <c r="S149" s="283">
        <f t="shared" si="13"/>
        <v>4.3</v>
      </c>
      <c r="T149" s="283">
        <f t="shared" si="14"/>
        <v>4.3</v>
      </c>
      <c r="U149" s="283"/>
    </row>
    <row r="150" spans="1:21" ht="48" customHeight="1">
      <c r="A150" s="271"/>
      <c r="B150" s="378" t="str">
        <f>'Розшифровка кап'!A148</f>
        <v>мийка виробнича 840*840*850 глиб 450 (3 Шт)</v>
      </c>
      <c r="C150" s="379"/>
      <c r="D150" s="380"/>
      <c r="E150" s="283"/>
      <c r="F150" s="283"/>
      <c r="G150" s="283"/>
      <c r="H150" s="283"/>
      <c r="I150" s="283"/>
      <c r="J150" s="283">
        <v>9.9</v>
      </c>
      <c r="K150" s="283"/>
      <c r="L150" s="283"/>
      <c r="M150" s="283"/>
      <c r="N150" s="283"/>
      <c r="O150" s="284"/>
      <c r="P150" s="284"/>
      <c r="Q150" s="283">
        <f>E150+H150+K150+N150</f>
        <v>0</v>
      </c>
      <c r="R150" s="282">
        <f t="shared" si="12"/>
        <v>0</v>
      </c>
      <c r="S150" s="283">
        <f t="shared" si="13"/>
        <v>9.9</v>
      </c>
      <c r="T150" s="283">
        <f t="shared" si="14"/>
        <v>9.9</v>
      </c>
      <c r="U150" s="283"/>
    </row>
    <row r="151" spans="1:21">
      <c r="A151" s="271"/>
      <c r="B151" s="378" t="s">
        <v>642</v>
      </c>
      <c r="C151" s="379"/>
      <c r="D151" s="380"/>
      <c r="E151" s="283"/>
      <c r="F151" s="283"/>
      <c r="G151" s="283"/>
      <c r="H151" s="283"/>
      <c r="I151" s="283"/>
      <c r="J151" s="283"/>
      <c r="K151" s="283"/>
      <c r="L151" s="283"/>
      <c r="M151" s="283"/>
      <c r="N151" s="283">
        <v>1</v>
      </c>
      <c r="O151" s="284"/>
      <c r="P151" s="284"/>
      <c r="Q151" s="283">
        <f t="shared" ref="Q151:Q167" si="16">E151+H151+K151+N151</f>
        <v>1</v>
      </c>
      <c r="R151" s="282">
        <f t="shared" si="12"/>
        <v>0</v>
      </c>
      <c r="S151" s="283">
        <f t="shared" si="13"/>
        <v>0</v>
      </c>
      <c r="T151" s="283">
        <f t="shared" si="14"/>
        <v>0</v>
      </c>
      <c r="U151" s="283"/>
    </row>
    <row r="152" spans="1:21">
      <c r="A152" s="271"/>
      <c r="B152" s="378" t="s">
        <v>643</v>
      </c>
      <c r="C152" s="379"/>
      <c r="D152" s="380"/>
      <c r="E152" s="283"/>
      <c r="F152" s="283"/>
      <c r="G152" s="283"/>
      <c r="H152" s="283"/>
      <c r="I152" s="283"/>
      <c r="J152" s="283"/>
      <c r="K152" s="283"/>
      <c r="L152" s="283"/>
      <c r="M152" s="283"/>
      <c r="N152" s="283">
        <v>0.7</v>
      </c>
      <c r="O152" s="284"/>
      <c r="P152" s="284"/>
      <c r="Q152" s="283">
        <f t="shared" si="16"/>
        <v>0.7</v>
      </c>
      <c r="R152" s="282">
        <f t="shared" si="12"/>
        <v>0</v>
      </c>
      <c r="S152" s="283">
        <f t="shared" si="13"/>
        <v>0</v>
      </c>
      <c r="T152" s="283">
        <f t="shared" si="14"/>
        <v>0</v>
      </c>
      <c r="U152" s="283"/>
    </row>
    <row r="153" spans="1:21">
      <c r="A153" s="271"/>
      <c r="B153" s="378" t="s">
        <v>645</v>
      </c>
      <c r="C153" s="379"/>
      <c r="D153" s="380"/>
      <c r="E153" s="283"/>
      <c r="F153" s="283"/>
      <c r="G153" s="283"/>
      <c r="H153" s="283"/>
      <c r="I153" s="283"/>
      <c r="J153" s="283"/>
      <c r="K153" s="283"/>
      <c r="L153" s="283"/>
      <c r="M153" s="283"/>
      <c r="N153" s="283">
        <v>0.8</v>
      </c>
      <c r="O153" s="284"/>
      <c r="P153" s="284"/>
      <c r="Q153" s="283">
        <f t="shared" si="16"/>
        <v>0.8</v>
      </c>
      <c r="R153" s="282">
        <f t="shared" si="12"/>
        <v>0</v>
      </c>
      <c r="S153" s="283">
        <f t="shared" si="13"/>
        <v>0</v>
      </c>
      <c r="T153" s="283">
        <f t="shared" si="14"/>
        <v>0</v>
      </c>
      <c r="U153" s="283"/>
    </row>
    <row r="154" spans="1:21">
      <c r="A154" s="271"/>
      <c r="B154" s="311" t="s">
        <v>644</v>
      </c>
      <c r="C154" s="312"/>
      <c r="D154" s="313"/>
      <c r="E154" s="283"/>
      <c r="F154" s="283"/>
      <c r="G154" s="283"/>
      <c r="H154" s="283"/>
      <c r="I154" s="283"/>
      <c r="J154" s="283"/>
      <c r="K154" s="283"/>
      <c r="L154" s="283"/>
      <c r="M154" s="283"/>
      <c r="N154" s="283">
        <v>0.6</v>
      </c>
      <c r="O154" s="284"/>
      <c r="P154" s="284"/>
      <c r="Q154" s="283">
        <f t="shared" si="16"/>
        <v>0.6</v>
      </c>
      <c r="R154" s="282">
        <f t="shared" si="12"/>
        <v>0</v>
      </c>
      <c r="S154" s="283">
        <f t="shared" si="13"/>
        <v>0</v>
      </c>
      <c r="T154" s="283">
        <f t="shared" si="14"/>
        <v>0</v>
      </c>
      <c r="U154" s="283"/>
    </row>
    <row r="155" spans="1:21">
      <c r="A155" s="271"/>
      <c r="B155" s="378" t="s">
        <v>641</v>
      </c>
      <c r="C155" s="379"/>
      <c r="D155" s="380"/>
      <c r="E155" s="283"/>
      <c r="F155" s="283"/>
      <c r="G155" s="283"/>
      <c r="H155" s="283"/>
      <c r="I155" s="283"/>
      <c r="J155" s="283"/>
      <c r="K155" s="283"/>
      <c r="L155" s="283"/>
      <c r="M155" s="283"/>
      <c r="N155" s="283">
        <v>2</v>
      </c>
      <c r="O155" s="284"/>
      <c r="P155" s="284"/>
      <c r="Q155" s="283">
        <f t="shared" si="16"/>
        <v>2</v>
      </c>
      <c r="R155" s="282">
        <f t="shared" si="12"/>
        <v>0</v>
      </c>
      <c r="S155" s="283">
        <f t="shared" si="13"/>
        <v>0</v>
      </c>
      <c r="T155" s="283">
        <f t="shared" si="14"/>
        <v>0</v>
      </c>
      <c r="U155" s="283"/>
    </row>
    <row r="156" spans="1:21">
      <c r="A156" s="271"/>
      <c r="B156" s="378" t="s">
        <v>646</v>
      </c>
      <c r="C156" s="379"/>
      <c r="D156" s="380"/>
      <c r="E156" s="283"/>
      <c r="F156" s="283"/>
      <c r="G156" s="283"/>
      <c r="H156" s="283"/>
      <c r="I156" s="283"/>
      <c r="J156" s="283"/>
      <c r="K156" s="283"/>
      <c r="L156" s="283"/>
      <c r="M156" s="283"/>
      <c r="N156" s="283">
        <v>4</v>
      </c>
      <c r="O156" s="284"/>
      <c r="P156" s="284"/>
      <c r="Q156" s="283">
        <f t="shared" si="16"/>
        <v>4</v>
      </c>
      <c r="R156" s="282">
        <f t="shared" si="12"/>
        <v>0</v>
      </c>
      <c r="S156" s="283">
        <f t="shared" si="13"/>
        <v>0</v>
      </c>
      <c r="T156" s="283">
        <f t="shared" si="14"/>
        <v>0</v>
      </c>
      <c r="U156" s="283"/>
    </row>
    <row r="157" spans="1:21" ht="48" customHeight="1">
      <c r="A157" s="271"/>
      <c r="B157" s="378" t="s">
        <v>648</v>
      </c>
      <c r="C157" s="379"/>
      <c r="D157" s="380"/>
      <c r="E157" s="283"/>
      <c r="F157" s="283"/>
      <c r="G157" s="283"/>
      <c r="H157" s="283"/>
      <c r="I157" s="283"/>
      <c r="J157" s="283"/>
      <c r="K157" s="283"/>
      <c r="L157" s="283"/>
      <c r="M157" s="283"/>
      <c r="N157" s="283">
        <v>4.9000000000000004</v>
      </c>
      <c r="O157" s="284"/>
      <c r="P157" s="284"/>
      <c r="Q157" s="283">
        <f t="shared" si="16"/>
        <v>4.9000000000000004</v>
      </c>
      <c r="R157" s="282">
        <f t="shared" si="12"/>
        <v>0</v>
      </c>
      <c r="S157" s="283">
        <f t="shared" si="13"/>
        <v>0</v>
      </c>
      <c r="T157" s="283">
        <f t="shared" si="14"/>
        <v>0</v>
      </c>
      <c r="U157" s="283"/>
    </row>
    <row r="158" spans="1:21">
      <c r="A158" s="271"/>
      <c r="B158" s="378" t="s">
        <v>649</v>
      </c>
      <c r="C158" s="379"/>
      <c r="D158" s="380"/>
      <c r="E158" s="283"/>
      <c r="F158" s="283"/>
      <c r="G158" s="283"/>
      <c r="H158" s="283"/>
      <c r="I158" s="283"/>
      <c r="J158" s="283"/>
      <c r="K158" s="283"/>
      <c r="L158" s="283"/>
      <c r="M158" s="283"/>
      <c r="N158" s="283">
        <v>1.1000000000000001</v>
      </c>
      <c r="O158" s="284"/>
      <c r="P158" s="284"/>
      <c r="Q158" s="283">
        <f t="shared" si="16"/>
        <v>1.1000000000000001</v>
      </c>
      <c r="R158" s="282">
        <f t="shared" si="12"/>
        <v>0</v>
      </c>
      <c r="S158" s="283">
        <f t="shared" si="13"/>
        <v>0</v>
      </c>
      <c r="T158" s="283">
        <f t="shared" si="14"/>
        <v>0</v>
      </c>
      <c r="U158" s="283"/>
    </row>
    <row r="159" spans="1:21">
      <c r="A159" s="271"/>
      <c r="B159" s="378" t="s">
        <v>650</v>
      </c>
      <c r="C159" s="379"/>
      <c r="D159" s="380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>
        <v>3.1</v>
      </c>
      <c r="O159" s="284"/>
      <c r="P159" s="284"/>
      <c r="Q159" s="283">
        <f t="shared" si="16"/>
        <v>3.1</v>
      </c>
      <c r="R159" s="282">
        <f t="shared" si="12"/>
        <v>0</v>
      </c>
      <c r="S159" s="283">
        <f t="shared" si="13"/>
        <v>0</v>
      </c>
      <c r="T159" s="283">
        <f t="shared" si="14"/>
        <v>0</v>
      </c>
      <c r="U159" s="283"/>
    </row>
    <row r="160" spans="1:21">
      <c r="A160" s="271"/>
      <c r="B160" s="378" t="s">
        <v>651</v>
      </c>
      <c r="C160" s="379"/>
      <c r="D160" s="380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>
        <v>0.3</v>
      </c>
      <c r="O160" s="284"/>
      <c r="P160" s="284"/>
      <c r="Q160" s="283">
        <f t="shared" si="16"/>
        <v>0.3</v>
      </c>
      <c r="R160" s="282">
        <f t="shared" si="12"/>
        <v>0</v>
      </c>
      <c r="S160" s="283">
        <f t="shared" si="13"/>
        <v>0</v>
      </c>
      <c r="T160" s="283">
        <f t="shared" si="14"/>
        <v>0</v>
      </c>
      <c r="U160" s="283"/>
    </row>
    <row r="161" spans="1:21">
      <c r="A161" s="271"/>
      <c r="B161" s="378" t="s">
        <v>652</v>
      </c>
      <c r="C161" s="379"/>
      <c r="D161" s="380"/>
      <c r="E161" s="283"/>
      <c r="F161" s="283"/>
      <c r="G161" s="283"/>
      <c r="H161" s="283"/>
      <c r="I161" s="283"/>
      <c r="J161" s="283"/>
      <c r="K161" s="283"/>
      <c r="L161" s="283"/>
      <c r="M161" s="283"/>
      <c r="N161" s="283">
        <v>3.5</v>
      </c>
      <c r="O161" s="284"/>
      <c r="P161" s="284"/>
      <c r="Q161" s="283">
        <f t="shared" si="16"/>
        <v>3.5</v>
      </c>
      <c r="R161" s="282">
        <f t="shared" si="12"/>
        <v>0</v>
      </c>
      <c r="S161" s="283">
        <f t="shared" si="13"/>
        <v>0</v>
      </c>
      <c r="T161" s="283">
        <f t="shared" si="14"/>
        <v>0</v>
      </c>
      <c r="U161" s="283"/>
    </row>
    <row r="162" spans="1:21">
      <c r="A162" s="271"/>
      <c r="B162" s="378" t="s">
        <v>647</v>
      </c>
      <c r="C162" s="379"/>
      <c r="D162" s="380"/>
      <c r="E162" s="283"/>
      <c r="F162" s="283"/>
      <c r="G162" s="283"/>
      <c r="H162" s="283"/>
      <c r="I162" s="283"/>
      <c r="J162" s="283"/>
      <c r="K162" s="283"/>
      <c r="L162" s="283"/>
      <c r="M162" s="283"/>
      <c r="N162" s="283">
        <v>0.7</v>
      </c>
      <c r="O162" s="284"/>
      <c r="P162" s="284"/>
      <c r="Q162" s="283">
        <f t="shared" si="16"/>
        <v>0.7</v>
      </c>
      <c r="R162" s="282">
        <f t="shared" si="12"/>
        <v>0</v>
      </c>
      <c r="S162" s="283">
        <f t="shared" si="13"/>
        <v>0</v>
      </c>
      <c r="T162" s="283">
        <f t="shared" si="14"/>
        <v>0</v>
      </c>
      <c r="U162" s="283"/>
    </row>
    <row r="163" spans="1:21">
      <c r="A163" s="271"/>
      <c r="B163" s="378" t="s">
        <v>653</v>
      </c>
      <c r="C163" s="379"/>
      <c r="D163" s="380"/>
      <c r="E163" s="283"/>
      <c r="F163" s="283"/>
      <c r="G163" s="283"/>
      <c r="H163" s="283"/>
      <c r="I163" s="283"/>
      <c r="J163" s="283"/>
      <c r="K163" s="283"/>
      <c r="L163" s="283"/>
      <c r="M163" s="283"/>
      <c r="N163" s="283">
        <v>5.6</v>
      </c>
      <c r="O163" s="284"/>
      <c r="P163" s="284"/>
      <c r="Q163" s="283">
        <f t="shared" si="16"/>
        <v>5.6</v>
      </c>
      <c r="R163" s="282">
        <f t="shared" si="12"/>
        <v>0</v>
      </c>
      <c r="S163" s="283">
        <f t="shared" si="13"/>
        <v>0</v>
      </c>
      <c r="T163" s="283">
        <f t="shared" si="14"/>
        <v>0</v>
      </c>
      <c r="U163" s="283"/>
    </row>
    <row r="164" spans="1:21">
      <c r="A164" s="271"/>
      <c r="B164" s="378" t="s">
        <v>655</v>
      </c>
      <c r="C164" s="379"/>
      <c r="D164" s="380"/>
      <c r="E164" s="283"/>
      <c r="F164" s="283"/>
      <c r="G164" s="283"/>
      <c r="H164" s="283"/>
      <c r="I164" s="283"/>
      <c r="J164" s="283"/>
      <c r="K164" s="283"/>
      <c r="L164" s="283"/>
      <c r="M164" s="283"/>
      <c r="N164" s="283">
        <v>1.8</v>
      </c>
      <c r="O164" s="284"/>
      <c r="P164" s="284"/>
      <c r="Q164" s="283">
        <f t="shared" si="16"/>
        <v>1.8</v>
      </c>
      <c r="R164" s="282">
        <f t="shared" si="12"/>
        <v>0</v>
      </c>
      <c r="S164" s="283">
        <f t="shared" si="13"/>
        <v>0</v>
      </c>
      <c r="T164" s="283">
        <f t="shared" si="14"/>
        <v>0</v>
      </c>
      <c r="U164" s="283"/>
    </row>
    <row r="165" spans="1:21">
      <c r="A165" s="271"/>
      <c r="B165" s="378" t="s">
        <v>656</v>
      </c>
      <c r="C165" s="379"/>
      <c r="D165" s="380"/>
      <c r="E165" s="283"/>
      <c r="F165" s="283"/>
      <c r="G165" s="283"/>
      <c r="H165" s="283"/>
      <c r="I165" s="283"/>
      <c r="J165" s="283"/>
      <c r="K165" s="283"/>
      <c r="L165" s="283"/>
      <c r="M165" s="283"/>
      <c r="N165" s="283">
        <v>2.5</v>
      </c>
      <c r="O165" s="284"/>
      <c r="P165" s="284"/>
      <c r="Q165" s="283">
        <f t="shared" si="16"/>
        <v>2.5</v>
      </c>
      <c r="R165" s="282">
        <f t="shared" si="12"/>
        <v>0</v>
      </c>
      <c r="S165" s="283">
        <f t="shared" si="13"/>
        <v>0</v>
      </c>
      <c r="T165" s="283">
        <f t="shared" si="14"/>
        <v>0</v>
      </c>
      <c r="U165" s="283"/>
    </row>
    <row r="166" spans="1:21" ht="48" customHeight="1">
      <c r="A166" s="271"/>
      <c r="B166" s="378" t="s">
        <v>657</v>
      </c>
      <c r="C166" s="379"/>
      <c r="D166" s="380"/>
      <c r="E166" s="283"/>
      <c r="F166" s="283"/>
      <c r="G166" s="283"/>
      <c r="H166" s="283"/>
      <c r="I166" s="283"/>
      <c r="J166" s="283"/>
      <c r="K166" s="283"/>
      <c r="L166" s="283"/>
      <c r="M166" s="283"/>
      <c r="N166" s="283">
        <v>4</v>
      </c>
      <c r="O166" s="284"/>
      <c r="P166" s="284"/>
      <c r="Q166" s="283">
        <f t="shared" si="16"/>
        <v>4</v>
      </c>
      <c r="R166" s="282">
        <f t="shared" si="12"/>
        <v>0</v>
      </c>
      <c r="S166" s="283">
        <f t="shared" si="13"/>
        <v>0</v>
      </c>
      <c r="T166" s="283">
        <f t="shared" si="14"/>
        <v>0</v>
      </c>
      <c r="U166" s="283"/>
    </row>
    <row r="167" spans="1:21">
      <c r="A167" s="271"/>
      <c r="B167" s="378" t="s">
        <v>670</v>
      </c>
      <c r="C167" s="379"/>
      <c r="D167" s="380"/>
      <c r="E167" s="283"/>
      <c r="F167" s="283"/>
      <c r="G167" s="283"/>
      <c r="H167" s="283"/>
      <c r="I167" s="283"/>
      <c r="J167" s="283"/>
      <c r="K167" s="283">
        <v>1.7</v>
      </c>
      <c r="L167" s="283"/>
      <c r="M167" s="283"/>
      <c r="N167" s="283"/>
      <c r="O167" s="284"/>
      <c r="P167" s="284"/>
      <c r="Q167" s="283">
        <f t="shared" si="16"/>
        <v>1.7</v>
      </c>
      <c r="R167" s="282"/>
      <c r="S167" s="283"/>
      <c r="T167" s="283"/>
      <c r="U167" s="283"/>
    </row>
    <row r="168" spans="1:21">
      <c r="A168" s="271"/>
      <c r="B168" s="378" t="s">
        <v>671</v>
      </c>
      <c r="C168" s="379"/>
      <c r="D168" s="380"/>
      <c r="E168" s="283"/>
      <c r="F168" s="283"/>
      <c r="G168" s="283"/>
      <c r="H168" s="283"/>
      <c r="I168" s="283"/>
      <c r="J168" s="283"/>
      <c r="K168" s="283">
        <v>14.9</v>
      </c>
      <c r="L168" s="283"/>
      <c r="M168" s="283"/>
      <c r="N168" s="283"/>
      <c r="O168" s="284"/>
      <c r="P168" s="284"/>
      <c r="Q168" s="283">
        <f>E168+H168+K168+N168</f>
        <v>14.9</v>
      </c>
      <c r="R168" s="282"/>
      <c r="S168" s="283"/>
      <c r="T168" s="283"/>
      <c r="U168" s="283"/>
    </row>
    <row r="169" spans="1:21">
      <c r="A169" s="271"/>
      <c r="B169" s="378" t="s">
        <v>668</v>
      </c>
      <c r="C169" s="379"/>
      <c r="D169" s="380"/>
      <c r="E169" s="283"/>
      <c r="F169" s="283"/>
      <c r="G169" s="283"/>
      <c r="H169" s="283"/>
      <c r="I169" s="283"/>
      <c r="J169" s="283"/>
      <c r="K169" s="283">
        <v>0.7</v>
      </c>
      <c r="L169" s="283"/>
      <c r="M169" s="283"/>
      <c r="N169" s="283"/>
      <c r="O169" s="284"/>
      <c r="P169" s="284"/>
      <c r="Q169" s="283">
        <f t="shared" ref="Q169:Q175" si="17">E169+H169+K169+N169</f>
        <v>0.7</v>
      </c>
      <c r="R169" s="282"/>
      <c r="S169" s="283"/>
      <c r="T169" s="283"/>
      <c r="U169" s="283"/>
    </row>
    <row r="170" spans="1:21">
      <c r="A170" s="271"/>
      <c r="B170" s="378" t="s">
        <v>654</v>
      </c>
      <c r="C170" s="379"/>
      <c r="D170" s="380"/>
      <c r="E170" s="283"/>
      <c r="F170" s="283"/>
      <c r="G170" s="283"/>
      <c r="H170" s="283"/>
      <c r="I170" s="283"/>
      <c r="J170" s="283"/>
      <c r="K170" s="283">
        <v>0.5</v>
      </c>
      <c r="L170" s="283"/>
      <c r="M170" s="283"/>
      <c r="N170" s="283">
        <v>0.5</v>
      </c>
      <c r="O170" s="284"/>
      <c r="P170" s="284"/>
      <c r="Q170" s="283">
        <f t="shared" si="17"/>
        <v>1</v>
      </c>
      <c r="R170" s="282">
        <f t="shared" si="12"/>
        <v>0</v>
      </c>
      <c r="S170" s="283">
        <f t="shared" si="13"/>
        <v>0</v>
      </c>
      <c r="T170" s="283">
        <f t="shared" si="14"/>
        <v>0</v>
      </c>
      <c r="U170" s="283"/>
    </row>
    <row r="171" spans="1:21">
      <c r="A171" s="271"/>
      <c r="B171" s="311" t="s">
        <v>674</v>
      </c>
      <c r="C171" s="312"/>
      <c r="D171" s="313"/>
      <c r="E171" s="283"/>
      <c r="F171" s="283"/>
      <c r="G171" s="283"/>
      <c r="H171" s="283"/>
      <c r="I171" s="283"/>
      <c r="J171" s="283"/>
      <c r="K171" s="283">
        <v>2.8</v>
      </c>
      <c r="L171" s="283"/>
      <c r="M171" s="283"/>
      <c r="N171" s="283"/>
      <c r="O171" s="284"/>
      <c r="P171" s="284"/>
      <c r="Q171" s="283">
        <f t="shared" si="17"/>
        <v>2.8</v>
      </c>
      <c r="R171" s="282"/>
      <c r="S171" s="283"/>
      <c r="T171" s="283"/>
      <c r="U171" s="283"/>
    </row>
    <row r="172" spans="1:21">
      <c r="A172" s="271"/>
      <c r="B172" s="378" t="s">
        <v>658</v>
      </c>
      <c r="C172" s="379"/>
      <c r="D172" s="380"/>
      <c r="E172" s="283"/>
      <c r="F172" s="283"/>
      <c r="G172" s="283"/>
      <c r="H172" s="283"/>
      <c r="I172" s="283"/>
      <c r="J172" s="283"/>
      <c r="K172" s="283"/>
      <c r="L172" s="283"/>
      <c r="M172" s="283"/>
      <c r="N172" s="283">
        <v>0.3</v>
      </c>
      <c r="O172" s="284"/>
      <c r="P172" s="284"/>
      <c r="Q172" s="283">
        <f t="shared" si="17"/>
        <v>0.3</v>
      </c>
      <c r="R172" s="282">
        <f t="shared" si="12"/>
        <v>0</v>
      </c>
      <c r="S172" s="283">
        <f t="shared" si="13"/>
        <v>0</v>
      </c>
      <c r="T172" s="283">
        <f t="shared" si="14"/>
        <v>0</v>
      </c>
      <c r="U172" s="283"/>
    </row>
    <row r="173" spans="1:21">
      <c r="A173" s="271"/>
      <c r="B173" s="378" t="s">
        <v>669</v>
      </c>
      <c r="C173" s="379"/>
      <c r="D173" s="380"/>
      <c r="E173" s="283"/>
      <c r="F173" s="283"/>
      <c r="G173" s="283"/>
      <c r="H173" s="283"/>
      <c r="I173" s="283"/>
      <c r="J173" s="283"/>
      <c r="K173" s="283">
        <v>5.3</v>
      </c>
      <c r="L173" s="283"/>
      <c r="M173" s="283"/>
      <c r="N173" s="283"/>
      <c r="O173" s="284"/>
      <c r="P173" s="284"/>
      <c r="Q173" s="283">
        <f t="shared" si="17"/>
        <v>5.3</v>
      </c>
      <c r="R173" s="282"/>
      <c r="S173" s="283"/>
      <c r="T173" s="283"/>
      <c r="U173" s="283"/>
    </row>
    <row r="174" spans="1:21">
      <c r="A174" s="271"/>
      <c r="B174" s="311" t="s">
        <v>677</v>
      </c>
      <c r="C174" s="312"/>
      <c r="D174" s="313"/>
      <c r="E174" s="283"/>
      <c r="F174" s="283"/>
      <c r="G174" s="283"/>
      <c r="H174" s="283"/>
      <c r="I174" s="283"/>
      <c r="J174" s="283"/>
      <c r="K174" s="283">
        <v>2.8</v>
      </c>
      <c r="L174" s="283"/>
      <c r="M174" s="283"/>
      <c r="N174" s="283"/>
      <c r="O174" s="284"/>
      <c r="P174" s="284"/>
      <c r="Q174" s="283">
        <f t="shared" si="17"/>
        <v>2.8</v>
      </c>
      <c r="R174" s="282"/>
      <c r="S174" s="283"/>
      <c r="T174" s="283"/>
      <c r="U174" s="283"/>
    </row>
    <row r="175" spans="1:21">
      <c r="A175" s="271"/>
      <c r="B175" s="378" t="s">
        <v>659</v>
      </c>
      <c r="C175" s="379"/>
      <c r="D175" s="380"/>
      <c r="E175" s="283"/>
      <c r="F175" s="283"/>
      <c r="G175" s="283"/>
      <c r="H175" s="283"/>
      <c r="I175" s="283"/>
      <c r="J175" s="283"/>
      <c r="K175" s="283"/>
      <c r="L175" s="283"/>
      <c r="M175" s="283"/>
      <c r="N175" s="283">
        <v>0.4</v>
      </c>
      <c r="O175" s="284"/>
      <c r="P175" s="284"/>
      <c r="Q175" s="283">
        <f t="shared" si="17"/>
        <v>0.4</v>
      </c>
      <c r="R175" s="282">
        <f t="shared" si="12"/>
        <v>0</v>
      </c>
      <c r="S175" s="283">
        <f t="shared" si="13"/>
        <v>0</v>
      </c>
      <c r="T175" s="283">
        <f t="shared" si="14"/>
        <v>0</v>
      </c>
      <c r="U175" s="283"/>
    </row>
    <row r="176" spans="1:21" ht="75" customHeight="1">
      <c r="A176" s="290" t="s">
        <v>167</v>
      </c>
      <c r="B176" s="392" t="s">
        <v>663</v>
      </c>
      <c r="C176" s="393"/>
      <c r="D176" s="394"/>
      <c r="E176" s="282"/>
      <c r="F176" s="282">
        <f>SUM(F177:F178)</f>
        <v>0</v>
      </c>
      <c r="G176" s="282">
        <f>SUM(G177:G178)</f>
        <v>0</v>
      </c>
      <c r="H176" s="282">
        <f t="shared" ref="H176:Q176" si="18">SUM(H177:H179)</f>
        <v>3036.5</v>
      </c>
      <c r="I176" s="282">
        <f t="shared" si="18"/>
        <v>1987.5</v>
      </c>
      <c r="J176" s="282">
        <f t="shared" si="18"/>
        <v>9920.1</v>
      </c>
      <c r="K176" s="282">
        <f t="shared" si="18"/>
        <v>0.6</v>
      </c>
      <c r="L176" s="282">
        <f t="shared" si="18"/>
        <v>0</v>
      </c>
      <c r="M176" s="282">
        <f t="shared" si="18"/>
        <v>0</v>
      </c>
      <c r="N176" s="282">
        <f t="shared" si="18"/>
        <v>0</v>
      </c>
      <c r="O176" s="282">
        <f t="shared" si="18"/>
        <v>0</v>
      </c>
      <c r="P176" s="282">
        <f t="shared" si="18"/>
        <v>0</v>
      </c>
      <c r="Q176" s="282">
        <f t="shared" si="18"/>
        <v>3037.1</v>
      </c>
      <c r="R176" s="282">
        <f t="shared" si="12"/>
        <v>1987.5</v>
      </c>
      <c r="S176" s="282">
        <f t="shared" si="13"/>
        <v>9920.1</v>
      </c>
      <c r="T176" s="282">
        <f t="shared" si="14"/>
        <v>7932.6</v>
      </c>
      <c r="U176" s="282">
        <f t="shared" ref="U176:U177" si="19">(S176/R176)*100</f>
        <v>499.12452830188681</v>
      </c>
    </row>
    <row r="177" spans="1:21" ht="111.75" customHeight="1">
      <c r="A177" s="271"/>
      <c r="B177" s="378" t="str">
        <f>'Розшифровка кап'!A150</f>
        <v>реконструкція території насосної з улаштуванням приміщення для медичних відходів та тимчасової стоянки для автомобілів КНП "ВМКЛ "ЦМтаД" по вул.Маяковського,138 в м.Вінниці</v>
      </c>
      <c r="C177" s="379"/>
      <c r="D177" s="380"/>
      <c r="E177" s="283"/>
      <c r="F177" s="283"/>
      <c r="G177" s="283"/>
      <c r="H177" s="283">
        <v>2000</v>
      </c>
      <c r="I177" s="283">
        <v>1987.5</v>
      </c>
      <c r="J177" s="283">
        <v>2563.8000000000002</v>
      </c>
      <c r="K177" s="283"/>
      <c r="L177" s="283"/>
      <c r="M177" s="283"/>
      <c r="N177" s="283"/>
      <c r="O177" s="284"/>
      <c r="P177" s="284"/>
      <c r="Q177" s="283">
        <f t="shared" ref="Q177:Q183" si="20">SUM(E177,H177,K177,)</f>
        <v>2000</v>
      </c>
      <c r="R177" s="283">
        <f t="shared" si="12"/>
        <v>1987.5</v>
      </c>
      <c r="S177" s="283">
        <f t="shared" si="13"/>
        <v>2563.8000000000002</v>
      </c>
      <c r="T177" s="283">
        <f t="shared" si="14"/>
        <v>576.30000000000018</v>
      </c>
      <c r="U177" s="283">
        <f t="shared" si="19"/>
        <v>128.99622641509433</v>
      </c>
    </row>
    <row r="178" spans="1:21" ht="33" customHeight="1">
      <c r="A178" s="271"/>
      <c r="B178" s="378" t="str">
        <f>'Розшифровка кап'!A152</f>
        <v>реконструкція будівлі харчоблоку</v>
      </c>
      <c r="C178" s="379"/>
      <c r="D178" s="380"/>
      <c r="E178" s="283"/>
      <c r="F178" s="283"/>
      <c r="G178" s="283"/>
      <c r="H178" s="283"/>
      <c r="I178" s="283"/>
      <c r="J178" s="283">
        <v>7356.3</v>
      </c>
      <c r="K178" s="283"/>
      <c r="L178" s="283"/>
      <c r="M178" s="283"/>
      <c r="N178" s="283"/>
      <c r="O178" s="284"/>
      <c r="P178" s="284"/>
      <c r="Q178" s="283">
        <f t="shared" si="20"/>
        <v>0</v>
      </c>
      <c r="R178" s="283">
        <f t="shared" si="12"/>
        <v>0</v>
      </c>
      <c r="S178" s="283">
        <f t="shared" si="13"/>
        <v>7356.3</v>
      </c>
      <c r="T178" s="283">
        <f t="shared" si="14"/>
        <v>7356.3</v>
      </c>
      <c r="U178" s="283"/>
    </row>
    <row r="179" spans="1:21" ht="69.75" customHeight="1">
      <c r="A179" s="271"/>
      <c r="B179" s="378" t="s">
        <v>660</v>
      </c>
      <c r="C179" s="379"/>
      <c r="D179" s="380"/>
      <c r="E179" s="283"/>
      <c r="F179" s="283"/>
      <c r="G179" s="283"/>
      <c r="H179" s="283">
        <v>1036.5</v>
      </c>
      <c r="I179" s="283"/>
      <c r="J179" s="283"/>
      <c r="K179" s="283">
        <v>0.6</v>
      </c>
      <c r="L179" s="283"/>
      <c r="M179" s="283"/>
      <c r="N179" s="283"/>
      <c r="O179" s="284"/>
      <c r="P179" s="284"/>
      <c r="Q179" s="283">
        <f t="shared" si="20"/>
        <v>1037.0999999999999</v>
      </c>
      <c r="R179" s="283">
        <f t="shared" si="12"/>
        <v>0</v>
      </c>
      <c r="S179" s="283">
        <f t="shared" si="13"/>
        <v>0</v>
      </c>
      <c r="T179" s="283">
        <f t="shared" si="14"/>
        <v>0</v>
      </c>
      <c r="U179" s="283"/>
    </row>
    <row r="180" spans="1:21" ht="38.25" customHeight="1">
      <c r="A180" s="290" t="s">
        <v>171</v>
      </c>
      <c r="B180" s="392" t="s">
        <v>664</v>
      </c>
      <c r="C180" s="393"/>
      <c r="D180" s="394"/>
      <c r="E180" s="282"/>
      <c r="F180" s="282">
        <f>SUM(F181:F183)</f>
        <v>0</v>
      </c>
      <c r="G180" s="282">
        <f t="shared" ref="G180:P180" si="21">SUM(G181:G183)</f>
        <v>0</v>
      </c>
      <c r="H180" s="282">
        <f t="shared" si="21"/>
        <v>41.4</v>
      </c>
      <c r="I180" s="282">
        <f t="shared" si="21"/>
        <v>0</v>
      </c>
      <c r="J180" s="282">
        <f t="shared" si="21"/>
        <v>1113.5</v>
      </c>
      <c r="K180" s="282">
        <f t="shared" si="21"/>
        <v>0</v>
      </c>
      <c r="L180" s="282">
        <f t="shared" si="21"/>
        <v>0</v>
      </c>
      <c r="M180" s="282">
        <f t="shared" si="21"/>
        <v>0</v>
      </c>
      <c r="N180" s="282">
        <f t="shared" si="21"/>
        <v>0</v>
      </c>
      <c r="O180" s="282">
        <f t="shared" si="21"/>
        <v>0</v>
      </c>
      <c r="P180" s="282">
        <f t="shared" si="21"/>
        <v>0</v>
      </c>
      <c r="Q180" s="282">
        <f t="shared" si="20"/>
        <v>41.4</v>
      </c>
      <c r="R180" s="282">
        <f t="shared" si="12"/>
        <v>0</v>
      </c>
      <c r="S180" s="282">
        <f t="shared" si="13"/>
        <v>1113.5</v>
      </c>
      <c r="T180" s="282">
        <f t="shared" si="14"/>
        <v>1113.5</v>
      </c>
      <c r="U180" s="283"/>
    </row>
    <row r="181" spans="1:21" ht="63" customHeight="1">
      <c r="A181" s="271"/>
      <c r="B181" s="378" t="str">
        <f>'Розшифровка кап'!A154</f>
        <v xml:space="preserve">капітальний ремонт інженерних мереж будівлі дитячого стаціонару КНП «ВМКЛ «ЦМтаД»  </v>
      </c>
      <c r="C181" s="379"/>
      <c r="D181" s="380"/>
      <c r="E181" s="283"/>
      <c r="F181" s="283"/>
      <c r="G181" s="283"/>
      <c r="H181" s="283"/>
      <c r="I181" s="283"/>
      <c r="J181" s="283">
        <v>887.5</v>
      </c>
      <c r="K181" s="283"/>
      <c r="L181" s="283"/>
      <c r="M181" s="283"/>
      <c r="N181" s="283"/>
      <c r="O181" s="284"/>
      <c r="P181" s="284"/>
      <c r="Q181" s="283">
        <f t="shared" si="20"/>
        <v>0</v>
      </c>
      <c r="R181" s="282">
        <f t="shared" si="12"/>
        <v>0</v>
      </c>
      <c r="S181" s="283">
        <f t="shared" si="13"/>
        <v>887.5</v>
      </c>
      <c r="T181" s="283">
        <f t="shared" si="14"/>
        <v>887.5</v>
      </c>
      <c r="U181" s="283"/>
    </row>
    <row r="182" spans="1:21" ht="63" customHeight="1">
      <c r="A182" s="271"/>
      <c r="B182" s="378" t="str">
        <f>'Розшифровка кап'!A155</f>
        <v xml:space="preserve">капітальний ремонт приміщень четвертого поверху пологового будинку міської лікарні "Центр матері та дитини" </v>
      </c>
      <c r="C182" s="379"/>
      <c r="D182" s="380"/>
      <c r="E182" s="283"/>
      <c r="F182" s="283"/>
      <c r="G182" s="283"/>
      <c r="H182" s="283"/>
      <c r="I182" s="283"/>
      <c r="J182" s="283">
        <v>226</v>
      </c>
      <c r="K182" s="283"/>
      <c r="L182" s="283"/>
      <c r="M182" s="283"/>
      <c r="N182" s="283"/>
      <c r="O182" s="284"/>
      <c r="P182" s="284"/>
      <c r="Q182" s="283">
        <f t="shared" si="20"/>
        <v>0</v>
      </c>
      <c r="R182" s="282">
        <f t="shared" si="12"/>
        <v>0</v>
      </c>
      <c r="S182" s="283">
        <f t="shared" si="13"/>
        <v>226</v>
      </c>
      <c r="T182" s="283">
        <f t="shared" si="14"/>
        <v>226</v>
      </c>
      <c r="U182" s="283"/>
    </row>
    <row r="183" spans="1:21" ht="30" customHeight="1">
      <c r="A183" s="271"/>
      <c r="B183" s="378" t="s">
        <v>661</v>
      </c>
      <c r="C183" s="379"/>
      <c r="D183" s="380"/>
      <c r="E183" s="283"/>
      <c r="F183" s="283"/>
      <c r="G183" s="283"/>
      <c r="H183" s="283">
        <v>41.4</v>
      </c>
      <c r="I183" s="283"/>
      <c r="J183" s="283"/>
      <c r="K183" s="283"/>
      <c r="L183" s="283"/>
      <c r="M183" s="283"/>
      <c r="N183" s="283"/>
      <c r="O183" s="284"/>
      <c r="P183" s="284"/>
      <c r="Q183" s="283">
        <f t="shared" si="20"/>
        <v>41.4</v>
      </c>
      <c r="R183" s="282">
        <f t="shared" si="12"/>
        <v>0</v>
      </c>
      <c r="S183" s="282">
        <f t="shared" si="13"/>
        <v>0</v>
      </c>
      <c r="T183" s="283">
        <f t="shared" si="14"/>
        <v>0</v>
      </c>
      <c r="U183" s="283"/>
    </row>
    <row r="184" spans="1:21" ht="40.5" customHeight="1">
      <c r="A184" s="388" t="s">
        <v>11</v>
      </c>
      <c r="B184" s="389"/>
      <c r="C184" s="389"/>
      <c r="D184" s="389"/>
      <c r="E184" s="282">
        <f t="shared" ref="E184:P184" si="22">E7</f>
        <v>0</v>
      </c>
      <c r="F184" s="282">
        <f t="shared" si="22"/>
        <v>0</v>
      </c>
      <c r="G184" s="282">
        <f t="shared" si="22"/>
        <v>0</v>
      </c>
      <c r="H184" s="282">
        <f t="shared" si="22"/>
        <v>955.8</v>
      </c>
      <c r="I184" s="282">
        <f t="shared" si="22"/>
        <v>4814.1000000000004</v>
      </c>
      <c r="J184" s="282">
        <f t="shared" si="22"/>
        <v>5978.2</v>
      </c>
      <c r="K184" s="282">
        <f t="shared" si="22"/>
        <v>25.7</v>
      </c>
      <c r="L184" s="282">
        <f t="shared" si="22"/>
        <v>113.7</v>
      </c>
      <c r="M184" s="282">
        <f t="shared" si="22"/>
        <v>58.2</v>
      </c>
      <c r="N184" s="282">
        <f t="shared" si="22"/>
        <v>291.39999999999998</v>
      </c>
      <c r="O184" s="282">
        <f t="shared" si="22"/>
        <v>0</v>
      </c>
      <c r="P184" s="282">
        <f t="shared" si="22"/>
        <v>86.4</v>
      </c>
      <c r="Q184" s="282">
        <f>SUM(Q7,Q69,Q176,Q180)</f>
        <v>4781.7999999999993</v>
      </c>
      <c r="R184" s="282">
        <f>SUM(R7,R69,R176,R180)</f>
        <v>7448.1</v>
      </c>
      <c r="S184" s="282">
        <f>SUM(S7,S69,S176,S180)</f>
        <v>18145.099999999999</v>
      </c>
      <c r="T184" s="282">
        <f>S184-R184</f>
        <v>10696.999999999998</v>
      </c>
      <c r="U184" s="282">
        <f>S184/R184*100</f>
        <v>243.62052066970094</v>
      </c>
    </row>
    <row r="185" spans="1:21" ht="20.100000000000001" customHeight="1">
      <c r="A185" s="314"/>
      <c r="B185" s="315"/>
      <c r="C185" s="316"/>
      <c r="D185" s="316"/>
      <c r="E185" s="317"/>
      <c r="F185" s="317"/>
      <c r="G185" s="317"/>
      <c r="H185" s="317"/>
      <c r="I185" s="317"/>
      <c r="J185" s="317"/>
      <c r="K185" s="317"/>
      <c r="L185" s="317"/>
      <c r="M185" s="314"/>
      <c r="N185" s="314"/>
      <c r="O185" s="317"/>
      <c r="P185" s="314"/>
      <c r="Q185" s="314"/>
      <c r="R185" s="305"/>
      <c r="S185" s="305"/>
      <c r="T185" s="305"/>
      <c r="U185" s="305"/>
    </row>
    <row r="186" spans="1:21" ht="20.100000000000001" customHeight="1">
      <c r="A186" s="318"/>
      <c r="B186" s="306"/>
      <c r="C186" s="319"/>
      <c r="D186" s="319"/>
      <c r="E186" s="320"/>
      <c r="F186" s="320"/>
      <c r="G186" s="320"/>
      <c r="H186" s="320"/>
      <c r="I186" s="320"/>
      <c r="J186" s="320"/>
      <c r="K186" s="320"/>
      <c r="L186" s="320"/>
      <c r="M186" s="320"/>
      <c r="N186" s="305"/>
      <c r="O186" s="305"/>
      <c r="P186" s="305"/>
      <c r="Q186" s="305"/>
      <c r="R186" s="305"/>
      <c r="S186" s="305"/>
      <c r="T186" s="305"/>
      <c r="U186" s="305"/>
    </row>
    <row r="187" spans="1:21" ht="20.100000000000001" customHeight="1">
      <c r="A187" s="318"/>
      <c r="B187" s="306"/>
      <c r="C187" s="319"/>
      <c r="D187" s="319"/>
      <c r="E187" s="320"/>
      <c r="F187" s="320"/>
      <c r="G187" s="320"/>
      <c r="H187" s="320"/>
      <c r="I187" s="320"/>
      <c r="J187" s="320"/>
      <c r="K187" s="320"/>
      <c r="L187" s="320"/>
      <c r="M187" s="320"/>
      <c r="N187" s="305"/>
      <c r="O187" s="305"/>
      <c r="P187" s="305"/>
      <c r="Q187" s="305"/>
      <c r="R187" s="305"/>
      <c r="S187" s="305"/>
      <c r="T187" s="305"/>
      <c r="U187" s="305"/>
    </row>
    <row r="188" spans="1:21" s="275" customFormat="1" ht="20.100000000000001" customHeight="1">
      <c r="A188" s="321"/>
      <c r="B188" s="322"/>
      <c r="C188" s="306"/>
      <c r="D188" s="306"/>
      <c r="E188" s="306"/>
      <c r="F188" s="306"/>
      <c r="G188" s="306"/>
      <c r="H188" s="321"/>
      <c r="I188" s="321"/>
      <c r="J188" s="321"/>
      <c r="K188" s="321"/>
      <c r="L188" s="321"/>
      <c r="M188" s="321"/>
      <c r="N188" s="321"/>
      <c r="O188" s="321"/>
      <c r="P188" s="321"/>
      <c r="Q188" s="321"/>
      <c r="R188" s="321"/>
      <c r="S188" s="321"/>
      <c r="T188" s="321"/>
      <c r="U188" s="321"/>
    </row>
    <row r="189" spans="1:21" s="277" customFormat="1" ht="36" customHeight="1">
      <c r="A189" s="323"/>
      <c r="B189" s="384" t="s">
        <v>210</v>
      </c>
      <c r="C189" s="385"/>
      <c r="D189" s="385"/>
      <c r="E189" s="324"/>
      <c r="F189" s="324"/>
      <c r="G189" s="324"/>
      <c r="H189" s="387" t="s">
        <v>31</v>
      </c>
      <c r="I189" s="387"/>
      <c r="J189" s="387"/>
      <c r="K189" s="387"/>
      <c r="L189" s="387"/>
      <c r="M189" s="325"/>
      <c r="N189" s="386" t="s">
        <v>627</v>
      </c>
      <c r="O189" s="386"/>
      <c r="P189" s="386"/>
      <c r="Q189" s="323"/>
      <c r="R189" s="323"/>
      <c r="S189" s="323"/>
      <c r="T189" s="323"/>
      <c r="U189" s="323"/>
    </row>
    <row r="190" spans="1:21" s="275" customFormat="1" ht="19.5" customHeight="1">
      <c r="A190" s="321"/>
      <c r="B190" s="326"/>
      <c r="C190" s="322" t="s">
        <v>12</v>
      </c>
      <c r="D190" s="322"/>
      <c r="E190" s="327"/>
      <c r="F190" s="327"/>
      <c r="G190" s="327"/>
      <c r="H190" s="321"/>
      <c r="I190" s="328"/>
      <c r="J190" s="302" t="s">
        <v>13</v>
      </c>
      <c r="K190" s="327"/>
      <c r="L190" s="327"/>
      <c r="M190" s="327"/>
      <c r="N190" s="383" t="s">
        <v>21</v>
      </c>
      <c r="O190" s="383"/>
      <c r="P190" s="383"/>
      <c r="Q190" s="321"/>
      <c r="R190" s="321"/>
      <c r="S190" s="321"/>
      <c r="T190" s="321"/>
      <c r="U190" s="321"/>
    </row>
    <row r="191" spans="1:21" ht="20.100000000000001" customHeight="1">
      <c r="A191" s="305"/>
      <c r="B191" s="329"/>
      <c r="C191" s="329"/>
      <c r="D191" s="329"/>
      <c r="E191" s="330"/>
      <c r="F191" s="331"/>
      <c r="G191" s="331"/>
      <c r="H191" s="331"/>
      <c r="I191" s="331"/>
      <c r="J191" s="331"/>
      <c r="K191" s="331"/>
      <c r="L191" s="331"/>
      <c r="M191" s="331"/>
      <c r="N191" s="305"/>
      <c r="O191" s="305"/>
      <c r="P191" s="305"/>
      <c r="Q191" s="305"/>
      <c r="R191" s="305"/>
      <c r="S191" s="305"/>
      <c r="T191" s="305"/>
      <c r="U191" s="305"/>
    </row>
    <row r="192" spans="1:21" ht="20.100000000000001" customHeight="1">
      <c r="B192" s="278"/>
      <c r="C192" s="278"/>
      <c r="D192" s="278"/>
      <c r="E192" s="279"/>
      <c r="F192" s="279"/>
      <c r="G192" s="279"/>
      <c r="H192" s="279"/>
      <c r="I192" s="279"/>
      <c r="J192" s="279"/>
      <c r="K192" s="279"/>
      <c r="L192" s="279"/>
      <c r="M192" s="279"/>
    </row>
    <row r="193" spans="1:13">
      <c r="B193" s="278"/>
      <c r="C193" s="278"/>
      <c r="D193" s="278"/>
      <c r="E193" s="279"/>
      <c r="F193" s="279"/>
      <c r="G193" s="279"/>
      <c r="H193" s="279"/>
      <c r="I193" s="279"/>
      <c r="J193" s="279"/>
      <c r="K193" s="279"/>
      <c r="L193" s="279"/>
      <c r="M193" s="279"/>
    </row>
    <row r="194" spans="1:13" s="382" customFormat="1" ht="19.149999999999999" customHeight="1">
      <c r="A194" s="381" t="s">
        <v>87</v>
      </c>
    </row>
    <row r="197" spans="1:13">
      <c r="B197" s="280"/>
    </row>
    <row r="198" spans="1:13">
      <c r="B198" s="280"/>
    </row>
    <row r="199" spans="1:13">
      <c r="B199" s="280"/>
    </row>
    <row r="200" spans="1:13">
      <c r="B200" s="280"/>
    </row>
    <row r="201" spans="1:13">
      <c r="B201" s="280"/>
    </row>
    <row r="202" spans="1:13">
      <c r="B202" s="280"/>
    </row>
    <row r="203" spans="1:13">
      <c r="B203" s="280"/>
    </row>
  </sheetData>
  <mergeCells count="183">
    <mergeCell ref="B183:D183"/>
    <mergeCell ref="B155:D155"/>
    <mergeCell ref="B151:D151"/>
    <mergeCell ref="B152:D152"/>
    <mergeCell ref="B153:D153"/>
    <mergeCell ref="B156:D156"/>
    <mergeCell ref="B162:D162"/>
    <mergeCell ref="B157:D157"/>
    <mergeCell ref="B158:D158"/>
    <mergeCell ref="B159:D159"/>
    <mergeCell ref="B160:D160"/>
    <mergeCell ref="B161:D161"/>
    <mergeCell ref="B178:D178"/>
    <mergeCell ref="B180:D180"/>
    <mergeCell ref="B181:D181"/>
    <mergeCell ref="B182:D182"/>
    <mergeCell ref="B177:D177"/>
    <mergeCell ref="B169:D169"/>
    <mergeCell ref="B173:D173"/>
    <mergeCell ref="B167:D167"/>
    <mergeCell ref="B168:D168"/>
    <mergeCell ref="B146:D146"/>
    <mergeCell ref="B147:D147"/>
    <mergeCell ref="B148:D148"/>
    <mergeCell ref="B149:D149"/>
    <mergeCell ref="B150:D150"/>
    <mergeCell ref="B176:D176"/>
    <mergeCell ref="B163:D163"/>
    <mergeCell ref="B170:D170"/>
    <mergeCell ref="B164:D164"/>
    <mergeCell ref="B165:D165"/>
    <mergeCell ref="B166:D166"/>
    <mergeCell ref="B172:D172"/>
    <mergeCell ref="B175:D175"/>
    <mergeCell ref="B142:D142"/>
    <mergeCell ref="B143:D143"/>
    <mergeCell ref="B144:D144"/>
    <mergeCell ref="B145:D145"/>
    <mergeCell ref="B135:D135"/>
    <mergeCell ref="B136:D136"/>
    <mergeCell ref="B137:D137"/>
    <mergeCell ref="B138:D138"/>
    <mergeCell ref="B140:D140"/>
    <mergeCell ref="B131:D131"/>
    <mergeCell ref="B132:D132"/>
    <mergeCell ref="B133:D133"/>
    <mergeCell ref="B124:D124"/>
    <mergeCell ref="B125:D125"/>
    <mergeCell ref="B126:D126"/>
    <mergeCell ref="B127:D127"/>
    <mergeCell ref="B128:D128"/>
    <mergeCell ref="B141:D141"/>
    <mergeCell ref="B121:D121"/>
    <mergeCell ref="B123:D123"/>
    <mergeCell ref="B111:D111"/>
    <mergeCell ref="B112:D112"/>
    <mergeCell ref="B113:D113"/>
    <mergeCell ref="B114:D114"/>
    <mergeCell ref="B115:D115"/>
    <mergeCell ref="B129:D129"/>
    <mergeCell ref="B130:D130"/>
    <mergeCell ref="B120:D120"/>
    <mergeCell ref="B110:D110"/>
    <mergeCell ref="B101:D101"/>
    <mergeCell ref="B102:D102"/>
    <mergeCell ref="B103:D103"/>
    <mergeCell ref="B104:D104"/>
    <mergeCell ref="B105:D105"/>
    <mergeCell ref="B116:D116"/>
    <mergeCell ref="B117:D117"/>
    <mergeCell ref="B118:D118"/>
    <mergeCell ref="B96:D96"/>
    <mergeCell ref="B97:D97"/>
    <mergeCell ref="B98:D98"/>
    <mergeCell ref="B99:D99"/>
    <mergeCell ref="B100:D100"/>
    <mergeCell ref="B82:D82"/>
    <mergeCell ref="B134:D134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92:D92"/>
    <mergeCell ref="B93:D93"/>
    <mergeCell ref="B94:D94"/>
    <mergeCell ref="B95:D95"/>
    <mergeCell ref="B106:D106"/>
    <mergeCell ref="B107:D107"/>
    <mergeCell ref="B108:D108"/>
    <mergeCell ref="B109:D109"/>
    <mergeCell ref="B76:D76"/>
    <mergeCell ref="B77:D77"/>
    <mergeCell ref="B78:D78"/>
    <mergeCell ref="B79:D79"/>
    <mergeCell ref="B80:D80"/>
    <mergeCell ref="B72:D72"/>
    <mergeCell ref="B74:D74"/>
    <mergeCell ref="B75:D75"/>
    <mergeCell ref="B69:D69"/>
    <mergeCell ref="B70:D70"/>
    <mergeCell ref="B71:D71"/>
    <mergeCell ref="B64:D64"/>
    <mergeCell ref="B65:D65"/>
    <mergeCell ref="B66:D66"/>
    <mergeCell ref="B68:D68"/>
    <mergeCell ref="B59:D59"/>
    <mergeCell ref="B60:D60"/>
    <mergeCell ref="B61:D61"/>
    <mergeCell ref="B62:D62"/>
    <mergeCell ref="B63:D63"/>
    <mergeCell ref="B55:D55"/>
    <mergeCell ref="B56:D56"/>
    <mergeCell ref="B57:D57"/>
    <mergeCell ref="B58:D58"/>
    <mergeCell ref="B50:D50"/>
    <mergeCell ref="B51:D51"/>
    <mergeCell ref="B52:D52"/>
    <mergeCell ref="B53:D53"/>
    <mergeCell ref="A4:A5"/>
    <mergeCell ref="B7:D7"/>
    <mergeCell ref="B25:D25"/>
    <mergeCell ref="B26:D26"/>
    <mergeCell ref="B27:D27"/>
    <mergeCell ref="B28:D28"/>
    <mergeCell ref="B29:D29"/>
    <mergeCell ref="B20:D20"/>
    <mergeCell ref="B21:D21"/>
    <mergeCell ref="B22:D22"/>
    <mergeCell ref="B23:D23"/>
    <mergeCell ref="B24:D24"/>
    <mergeCell ref="A194:XFD194"/>
    <mergeCell ref="N190:P190"/>
    <mergeCell ref="B189:D189"/>
    <mergeCell ref="N189:P189"/>
    <mergeCell ref="H189:L189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A184:D184"/>
    <mergeCell ref="B35:D35"/>
    <mergeCell ref="B36:D36"/>
    <mergeCell ref="B37:D37"/>
    <mergeCell ref="B38:D38"/>
    <mergeCell ref="B39:D39"/>
    <mergeCell ref="B30:D30"/>
    <mergeCell ref="E2:P2"/>
    <mergeCell ref="Q4:U4"/>
    <mergeCell ref="H4:J4"/>
    <mergeCell ref="B6:D6"/>
    <mergeCell ref="N4:P4"/>
    <mergeCell ref="K4:M4"/>
    <mergeCell ref="B4:D5"/>
    <mergeCell ref="E4:G4"/>
    <mergeCell ref="B179:D179"/>
    <mergeCell ref="B31:D31"/>
    <mergeCell ref="B32:D32"/>
    <mergeCell ref="B33:D33"/>
    <mergeCell ref="B34:D34"/>
    <mergeCell ref="B45:D45"/>
    <mergeCell ref="B46:D46"/>
    <mergeCell ref="B47:D47"/>
    <mergeCell ref="B48:D48"/>
    <mergeCell ref="B49:D49"/>
    <mergeCell ref="B40:D40"/>
    <mergeCell ref="B41:D41"/>
    <mergeCell ref="B42:D42"/>
    <mergeCell ref="B43:D43"/>
    <mergeCell ref="B44:D44"/>
    <mergeCell ref="B54:D54"/>
  </mergeCells>
  <phoneticPr fontId="3" type="noConversion"/>
  <pageMargins left="0.23622047244094491" right="0.15748031496062992" top="0.19685039370078741" bottom="0.19685039370078741" header="0.2" footer="0.31496062992125984"/>
  <pageSetup paperSize="9" scale="39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7</vt:i4>
      </vt:variant>
    </vt:vector>
  </HeadingPairs>
  <TitlesOfParts>
    <vt:vector size="13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до Руху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до Руху'!Область_печати</vt:lpstr>
      <vt:lpstr>'Розшифровка за джерелами'!Область_печати</vt:lpstr>
      <vt:lpstr>'Розшифровка кап'!Область_печати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2021-09-02T12:38:19Z</cp:lastPrinted>
  <dcterms:created xsi:type="dcterms:W3CDTF">2003-03-13T16:00:22Z</dcterms:created>
  <dcterms:modified xsi:type="dcterms:W3CDTF">2022-03-10T10:07:05Z</dcterms:modified>
</cp:coreProperties>
</file>